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6060"/>
  </bookViews>
  <sheets>
    <sheet name="Oakwood Apartmen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F64" i="1"/>
  <c r="G64" i="1"/>
  <c r="H64" i="1"/>
  <c r="I64" i="1"/>
  <c r="J64" i="1"/>
  <c r="K64" i="1"/>
  <c r="L64" i="1"/>
  <c r="M64" i="1"/>
  <c r="D64" i="1"/>
  <c r="E63" i="1"/>
  <c r="F63" i="1"/>
  <c r="G63" i="1"/>
  <c r="H63" i="1"/>
  <c r="I63" i="1"/>
  <c r="J63" i="1"/>
  <c r="K63" i="1"/>
  <c r="L63" i="1"/>
  <c r="M63" i="1"/>
  <c r="D63" i="1"/>
  <c r="E62" i="1"/>
  <c r="F62" i="1"/>
  <c r="G62" i="1"/>
  <c r="H62" i="1"/>
  <c r="I62" i="1"/>
  <c r="J62" i="1"/>
  <c r="K62" i="1"/>
  <c r="L62" i="1"/>
  <c r="M62" i="1"/>
  <c r="D62" i="1"/>
  <c r="F61" i="1"/>
  <c r="G61" i="1"/>
  <c r="H61" i="1"/>
  <c r="I61" i="1"/>
  <c r="J61" i="1"/>
  <c r="K61" i="1"/>
  <c r="L61" i="1"/>
  <c r="M61" i="1"/>
  <c r="E61" i="1"/>
  <c r="D61" i="1"/>
  <c r="E60" i="1"/>
  <c r="F60" i="1"/>
  <c r="G60" i="1"/>
  <c r="H60" i="1"/>
  <c r="I60" i="1"/>
  <c r="J60" i="1"/>
  <c r="K60" i="1"/>
  <c r="L60" i="1"/>
  <c r="M60" i="1"/>
  <c r="D60" i="1"/>
  <c r="I57" i="1"/>
  <c r="J57" i="1"/>
  <c r="K57" i="1"/>
  <c r="L57" i="1"/>
  <c r="M57" i="1"/>
  <c r="I56" i="1"/>
  <c r="J56" i="1"/>
  <c r="K56" i="1"/>
  <c r="L56" i="1"/>
  <c r="M56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C55" i="1"/>
  <c r="E53" i="1"/>
  <c r="F53" i="1"/>
  <c r="G53" i="1"/>
  <c r="H53" i="1"/>
  <c r="I53" i="1"/>
  <c r="J53" i="1"/>
  <c r="K53" i="1"/>
  <c r="L53" i="1"/>
  <c r="M53" i="1"/>
  <c r="C53" i="1"/>
  <c r="C52" i="1"/>
  <c r="D52" i="1"/>
  <c r="E52" i="1"/>
  <c r="F52" i="1"/>
  <c r="G52" i="1"/>
  <c r="H52" i="1"/>
  <c r="I52" i="1"/>
  <c r="J52" i="1"/>
  <c r="K52" i="1"/>
  <c r="L52" i="1"/>
  <c r="M52" i="1"/>
  <c r="D50" i="1"/>
  <c r="E50" i="1"/>
  <c r="F50" i="1"/>
  <c r="G50" i="1"/>
  <c r="H50" i="1"/>
  <c r="I50" i="1"/>
  <c r="J50" i="1"/>
  <c r="K50" i="1"/>
  <c r="L50" i="1"/>
  <c r="M50" i="1"/>
  <c r="N50" i="1"/>
  <c r="D39" i="1"/>
  <c r="D37" i="1"/>
  <c r="D27" i="1"/>
  <c r="E27" i="1"/>
  <c r="C27" i="1"/>
  <c r="D53" i="1"/>
  <c r="H54" i="1"/>
  <c r="H56" i="1"/>
  <c r="H57" i="1"/>
  <c r="H65" i="1"/>
  <c r="H66" i="1"/>
  <c r="H67" i="1"/>
  <c r="H68" i="1"/>
  <c r="H70" i="1"/>
  <c r="H75" i="1"/>
  <c r="C80" i="1"/>
  <c r="C81" i="1"/>
  <c r="C82" i="1"/>
  <c r="C83" i="1"/>
  <c r="C84" i="1"/>
  <c r="G81" i="1"/>
  <c r="C54" i="1"/>
  <c r="C56" i="1"/>
  <c r="C57" i="1"/>
  <c r="C60" i="1"/>
  <c r="C61" i="1"/>
  <c r="C62" i="1"/>
  <c r="C63" i="1"/>
  <c r="C64" i="1"/>
  <c r="C65" i="1"/>
  <c r="C66" i="1"/>
  <c r="C67" i="1"/>
  <c r="C68" i="1"/>
  <c r="C70" i="1"/>
  <c r="C75" i="1"/>
  <c r="C76" i="1"/>
  <c r="C77" i="1"/>
  <c r="D54" i="1"/>
  <c r="D56" i="1"/>
  <c r="D57" i="1"/>
  <c r="D65" i="1"/>
  <c r="D66" i="1"/>
  <c r="D67" i="1"/>
  <c r="D68" i="1"/>
  <c r="D70" i="1"/>
  <c r="D75" i="1"/>
  <c r="D77" i="1"/>
  <c r="E54" i="1"/>
  <c r="E56" i="1"/>
  <c r="E57" i="1"/>
  <c r="E65" i="1"/>
  <c r="E66" i="1"/>
  <c r="E67" i="1"/>
  <c r="E68" i="1"/>
  <c r="E70" i="1"/>
  <c r="E75" i="1"/>
  <c r="E77" i="1"/>
  <c r="F54" i="1"/>
  <c r="F56" i="1"/>
  <c r="F57" i="1"/>
  <c r="F65" i="1"/>
  <c r="F66" i="1"/>
  <c r="F67" i="1"/>
  <c r="F68" i="1"/>
  <c r="F70" i="1"/>
  <c r="F75" i="1"/>
  <c r="F77" i="1"/>
  <c r="G54" i="1"/>
  <c r="G56" i="1"/>
  <c r="G57" i="1"/>
  <c r="G65" i="1"/>
  <c r="G66" i="1"/>
  <c r="G67" i="1"/>
  <c r="G68" i="1"/>
  <c r="G70" i="1"/>
  <c r="G75" i="1"/>
  <c r="G77" i="1"/>
  <c r="G80" i="1"/>
  <c r="G82" i="1"/>
  <c r="G85" i="1"/>
  <c r="D76" i="1"/>
  <c r="E76" i="1"/>
  <c r="F76" i="1"/>
  <c r="C72" i="1"/>
  <c r="D72" i="1"/>
  <c r="G76" i="1"/>
  <c r="E72" i="1"/>
  <c r="G72" i="1"/>
  <c r="F72" i="1"/>
  <c r="H72" i="1"/>
</calcChain>
</file>

<file path=xl/sharedStrings.xml><?xml version="1.0" encoding="utf-8"?>
<sst xmlns="http://schemas.openxmlformats.org/spreadsheetml/2006/main" count="89" uniqueCount="78">
  <si>
    <t>Building Name</t>
  </si>
  <si>
    <t>Address</t>
  </si>
  <si>
    <t>City</t>
  </si>
  <si>
    <t>State</t>
  </si>
  <si>
    <t>USA</t>
  </si>
  <si>
    <t>Total Units</t>
  </si>
  <si>
    <t>Building Size (SF)</t>
  </si>
  <si>
    <t>Analysis Begin Date</t>
  </si>
  <si>
    <t>Discount Rate</t>
  </si>
  <si>
    <t>Terminal Rate</t>
  </si>
  <si>
    <t>Selling Cost</t>
  </si>
  <si>
    <t>Inputs</t>
  </si>
  <si>
    <t>Apartment Unit</t>
  </si>
  <si>
    <t>Name</t>
  </si>
  <si>
    <t>Two Bedroom</t>
  </si>
  <si>
    <t>Units</t>
  </si>
  <si>
    <t>Monthly Rent</t>
  </si>
  <si>
    <t>Lease Term (Yrs)</t>
  </si>
  <si>
    <t>Market Monthly Rent</t>
  </si>
  <si>
    <t>Market Rent Increase</t>
  </si>
  <si>
    <t>Laundry Income/unit/year</t>
  </si>
  <si>
    <t>Laundry Income increase</t>
  </si>
  <si>
    <t>Market Vacancy Rate</t>
  </si>
  <si>
    <t>Credit Loss Rate</t>
  </si>
  <si>
    <t xml:space="preserve">% of EGI  </t>
  </si>
  <si>
    <t>$ Amount</t>
  </si>
  <si>
    <t>$ per Unit</t>
  </si>
  <si>
    <t>Change %</t>
  </si>
  <si>
    <t>Real Estate Taxes</t>
  </si>
  <si>
    <t>Office Expenses</t>
  </si>
  <si>
    <t>Insurance</t>
  </si>
  <si>
    <t>Repairs &amp; Maintenance</t>
  </si>
  <si>
    <t>Advertising</t>
  </si>
  <si>
    <t>Management</t>
  </si>
  <si>
    <t>Utilities</t>
  </si>
  <si>
    <t>Miscellaneous Expenses</t>
  </si>
  <si>
    <t>Outputs</t>
  </si>
  <si>
    <t>Year</t>
  </si>
  <si>
    <t>Income:</t>
  </si>
  <si>
    <t>Laundry Income</t>
  </si>
  <si>
    <t>Potential Gross Income (PGI)</t>
  </si>
  <si>
    <t xml:space="preserve">Less: Vacancy </t>
  </si>
  <si>
    <t>Less: Credit Loss</t>
  </si>
  <si>
    <t>Effective Gross Income (EGI)</t>
  </si>
  <si>
    <t>Expenses:</t>
  </si>
  <si>
    <t>Total Expenses</t>
  </si>
  <si>
    <t>Net Operating Income (NOI)</t>
  </si>
  <si>
    <t>Expenses % of EGI</t>
  </si>
  <si>
    <t>Net Operating Income</t>
  </si>
  <si>
    <t>PV Factors</t>
  </si>
  <si>
    <t>Present Value</t>
  </si>
  <si>
    <t>Resale</t>
  </si>
  <si>
    <t>Sum PV NOI</t>
  </si>
  <si>
    <t>PV Resale</t>
  </si>
  <si>
    <t>Net Resale</t>
  </si>
  <si>
    <t>Value</t>
  </si>
  <si>
    <t>PV Factor</t>
  </si>
  <si>
    <t>PVResale</t>
  </si>
  <si>
    <t>Implied Change in Value</t>
  </si>
  <si>
    <t>Sierra Park Town Homes</t>
  </si>
  <si>
    <t>Sierra Park</t>
  </si>
  <si>
    <t>4930 Polk Street</t>
  </si>
  <si>
    <t>N. highlands</t>
  </si>
  <si>
    <t>three Bedroom</t>
  </si>
  <si>
    <t>Four Bedroom</t>
  </si>
  <si>
    <t>Equity</t>
  </si>
  <si>
    <t>Debt</t>
  </si>
  <si>
    <t>Cap Rate</t>
  </si>
  <si>
    <t>Tenant Utility Fee</t>
  </si>
  <si>
    <t>Land value</t>
  </si>
  <si>
    <t>Improvement value</t>
  </si>
  <si>
    <t>Net Accessed Value</t>
  </si>
  <si>
    <t>~$1350 dwelling, flood, and earthquake.  $3000k</t>
  </si>
  <si>
    <t>CAPEX</t>
  </si>
  <si>
    <t>PROPERTY INFORMATION</t>
  </si>
  <si>
    <t>Holding Period(years)</t>
  </si>
  <si>
    <t>Unit Size(SF)</t>
  </si>
  <si>
    <t>Annual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</si>
</sst>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$&quot;#,##0.00"/>
    <numFmt numFmtId="171" formatCode="&quot;$&quot;#,##0"/>
    <numFmt numFmtId="172" formatCode="_(* #,##0.00000_);_(* \(#,##0.00000\);_(* &quot;-&quot;??_);_(@_)"/>
    <numFmt numFmtId="173" formatCode="#,##0.00000_);\(#,##0.00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000000"/>
      <name val="Verdana"/>
    </font>
    <font>
      <sz val="11"/>
      <color theme="0" tint="-0.14999847407452621"/>
      <name val="Calibri"/>
      <scheme val="minor"/>
    </font>
    <font>
      <sz val="11"/>
      <color theme="0" tint="-4.9989318521683403E-2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color indexed="6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366F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0" borderId="4" xfId="0" applyFont="1" applyBorder="1"/>
    <xf numFmtId="0" fontId="4" fillId="0" borderId="8" xfId="0" applyFont="1" applyBorder="1"/>
    <xf numFmtId="0" fontId="5" fillId="4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9" fontId="3" fillId="0" borderId="0" xfId="1" applyNumberFormat="1" applyFont="1" applyBorder="1"/>
    <xf numFmtId="3" fontId="0" fillId="0" borderId="0" xfId="0" applyNumberFormat="1" applyBorder="1"/>
    <xf numFmtId="166" fontId="3" fillId="0" borderId="0" xfId="0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10" fontId="4" fillId="3" borderId="5" xfId="3" applyNumberFormat="1" applyFont="1" applyFill="1" applyBorder="1"/>
    <xf numFmtId="10" fontId="3" fillId="0" borderId="0" xfId="3" applyNumberFormat="1" applyFont="1" applyBorder="1"/>
    <xf numFmtId="0" fontId="6" fillId="0" borderId="4" xfId="0" applyFont="1" applyBorder="1"/>
    <xf numFmtId="170" fontId="3" fillId="0" borderId="0" xfId="0" applyNumberFormat="1" applyFont="1" applyBorder="1"/>
    <xf numFmtId="10" fontId="4" fillId="3" borderId="0" xfId="3" applyNumberFormat="1" applyFont="1" applyFill="1" applyBorder="1"/>
    <xf numFmtId="166" fontId="4" fillId="3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0" fontId="4" fillId="3" borderId="11" xfId="3" applyNumberFormat="1" applyFont="1" applyFill="1" applyBorder="1"/>
    <xf numFmtId="166" fontId="4" fillId="3" borderId="11" xfId="0" applyNumberFormat="1" applyFont="1" applyFill="1" applyBorder="1" applyAlignment="1">
      <alignment horizontal="right"/>
    </xf>
    <xf numFmtId="10" fontId="4" fillId="3" borderId="9" xfId="3" applyNumberFormat="1" applyFont="1" applyFill="1" applyBorder="1"/>
    <xf numFmtId="169" fontId="6" fillId="0" borderId="0" xfId="1" applyNumberFormat="1" applyFont="1" applyBorder="1" applyAlignment="1">
      <alignment horizontal="center"/>
    </xf>
    <xf numFmtId="169" fontId="6" fillId="0" borderId="5" xfId="1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0" fillId="0" borderId="0" xfId="0" applyNumberFormat="1" applyBorder="1"/>
    <xf numFmtId="171" fontId="0" fillId="0" borderId="0" xfId="0" applyNumberFormat="1" applyBorder="1"/>
    <xf numFmtId="164" fontId="0" fillId="0" borderId="5" xfId="0" applyNumberFormat="1" applyBorder="1"/>
    <xf numFmtId="10" fontId="4" fillId="0" borderId="0" xfId="3" applyNumberFormat="1" applyFont="1" applyBorder="1" applyAlignment="1">
      <alignment horizontal="right"/>
    </xf>
    <xf numFmtId="10" fontId="4" fillId="0" borderId="5" xfId="3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4" fontId="6" fillId="0" borderId="5" xfId="2" applyNumberFormat="1" applyFont="1" applyBorder="1" applyAlignment="1">
      <alignment horizontal="right"/>
    </xf>
    <xf numFmtId="172" fontId="4" fillId="0" borderId="0" xfId="1" applyNumberFormat="1" applyFont="1" applyBorder="1" applyAlignment="1">
      <alignment horizontal="right"/>
    </xf>
    <xf numFmtId="172" fontId="4" fillId="0" borderId="5" xfId="1" applyNumberFormat="1" applyFont="1" applyBorder="1" applyAlignment="1">
      <alignment horizontal="right"/>
    </xf>
    <xf numFmtId="164" fontId="8" fillId="0" borderId="5" xfId="2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9" fillId="0" borderId="0" xfId="2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73" fontId="4" fillId="0" borderId="0" xfId="1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0" fillId="0" borderId="8" xfId="0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left"/>
    </xf>
    <xf numFmtId="10" fontId="5" fillId="6" borderId="10" xfId="3" applyNumberFormat="1" applyFont="1" applyFill="1" applyBorder="1" applyAlignment="1">
      <alignment horizontal="right"/>
    </xf>
    <xf numFmtId="0" fontId="0" fillId="0" borderId="9" xfId="0" applyBorder="1"/>
    <xf numFmtId="0" fontId="13" fillId="0" borderId="0" xfId="0" applyFont="1"/>
    <xf numFmtId="0" fontId="11" fillId="0" borderId="0" xfId="14"/>
    <xf numFmtId="2" fontId="0" fillId="0" borderId="0" xfId="0" applyNumberFormat="1"/>
    <xf numFmtId="0" fontId="2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4" fillId="0" borderId="0" xfId="0" applyFont="1" applyBorder="1"/>
    <xf numFmtId="0" fontId="6" fillId="3" borderId="5" xfId="0" applyFont="1" applyFill="1" applyBorder="1"/>
    <xf numFmtId="0" fontId="6" fillId="3" borderId="5" xfId="0" applyFont="1" applyFill="1" applyBorder="1" applyAlignment="1">
      <alignment horizontal="right"/>
    </xf>
    <xf numFmtId="169" fontId="6" fillId="3" borderId="5" xfId="1" applyNumberFormat="1" applyFont="1" applyFill="1" applyBorder="1" applyAlignment="1">
      <alignment horizontal="right"/>
    </xf>
    <xf numFmtId="14" fontId="6" fillId="3" borderId="5" xfId="0" applyNumberFormat="1" applyFont="1" applyFill="1" applyBorder="1" applyAlignment="1">
      <alignment horizontal="right"/>
    </xf>
    <xf numFmtId="10" fontId="6" fillId="3" borderId="5" xfId="3" applyNumberFormat="1" applyFont="1" applyFill="1" applyBorder="1" applyAlignment="1">
      <alignment horizontal="right"/>
    </xf>
    <xf numFmtId="10" fontId="6" fillId="3" borderId="9" xfId="3" applyNumberFormat="1" applyFont="1" applyFill="1" applyBorder="1" applyAlignment="1">
      <alignment horizontal="right"/>
    </xf>
    <xf numFmtId="170" fontId="6" fillId="3" borderId="5" xfId="3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right"/>
    </xf>
    <xf numFmtId="166" fontId="6" fillId="3" borderId="5" xfId="0" applyNumberFormat="1" applyFont="1" applyFill="1" applyBorder="1" applyAlignment="1">
      <alignment horizontal="right"/>
    </xf>
    <xf numFmtId="166" fontId="6" fillId="3" borderId="5" xfId="0" applyNumberFormat="1" applyFont="1" applyFill="1" applyBorder="1"/>
    <xf numFmtId="10" fontId="6" fillId="3" borderId="5" xfId="3" applyNumberFormat="1" applyFont="1" applyFill="1" applyBorder="1"/>
    <xf numFmtId="170" fontId="6" fillId="3" borderId="5" xfId="3" applyNumberFormat="1" applyFont="1" applyFill="1" applyBorder="1"/>
    <xf numFmtId="0" fontId="16" fillId="0" borderId="0" xfId="0" applyFont="1" applyBorder="1"/>
    <xf numFmtId="10" fontId="6" fillId="3" borderId="9" xfId="3" applyNumberFormat="1" applyFont="1" applyFill="1" applyBorder="1"/>
    <xf numFmtId="0" fontId="17" fillId="3" borderId="7" xfId="0" applyFont="1" applyFill="1" applyBorder="1" applyAlignment="1">
      <alignment horizontal="left"/>
    </xf>
    <xf numFmtId="170" fontId="4" fillId="0" borderId="0" xfId="2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5" borderId="2" xfId="0" applyFont="1" applyFill="1" applyBorder="1" applyAlignment="1"/>
    <xf numFmtId="0" fontId="7" fillId="5" borderId="3" xfId="0" applyFont="1" applyFill="1" applyBorder="1" applyAlignment="1"/>
    <xf numFmtId="0" fontId="15" fillId="7" borderId="8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</cellXfs>
  <cellStyles count="17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6"/>
  <sheetViews>
    <sheetView tabSelected="1" topLeftCell="A46" workbookViewId="0">
      <selection activeCell="D65" sqref="D65"/>
    </sheetView>
  </sheetViews>
  <sheetFormatPr baseColWidth="10" defaultColWidth="8.83203125" defaultRowHeight="14" x14ac:dyDescent="0"/>
  <cols>
    <col min="2" max="2" width="28.6640625" bestFit="1" customWidth="1"/>
    <col min="3" max="3" width="16.83203125" customWidth="1"/>
    <col min="4" max="4" width="13.5" customWidth="1"/>
    <col min="5" max="5" width="16.6640625" customWidth="1"/>
    <col min="6" max="7" width="11.6640625" bestFit="1" customWidth="1"/>
    <col min="8" max="8" width="10.6640625" bestFit="1" customWidth="1"/>
    <col min="9" max="10" width="12" bestFit="1" customWidth="1"/>
    <col min="11" max="11" width="12.5" customWidth="1"/>
    <col min="12" max="12" width="12.1640625" customWidth="1"/>
    <col min="13" max="13" width="14.1640625" customWidth="1"/>
    <col min="16" max="16" width="8.6640625" customWidth="1"/>
    <col min="19" max="19" width="9.1640625" bestFit="1" customWidth="1"/>
    <col min="264" max="264" width="28.6640625" bestFit="1" customWidth="1"/>
    <col min="265" max="265" width="15.1640625" bestFit="1" customWidth="1"/>
    <col min="266" max="266" width="10.6640625" bestFit="1" customWidth="1"/>
    <col min="267" max="267" width="12.83203125" customWidth="1"/>
    <col min="268" max="269" width="11.6640625" bestFit="1" customWidth="1"/>
    <col min="270" max="270" width="10.6640625" bestFit="1" customWidth="1"/>
    <col min="520" max="520" width="28.6640625" bestFit="1" customWidth="1"/>
    <col min="521" max="521" width="15.1640625" bestFit="1" customWidth="1"/>
    <col min="522" max="522" width="10.6640625" bestFit="1" customWidth="1"/>
    <col min="523" max="523" width="12.83203125" customWidth="1"/>
    <col min="524" max="525" width="11.6640625" bestFit="1" customWidth="1"/>
    <col min="526" max="526" width="10.6640625" bestFit="1" customWidth="1"/>
    <col min="776" max="776" width="28.6640625" bestFit="1" customWidth="1"/>
    <col min="777" max="777" width="15.1640625" bestFit="1" customWidth="1"/>
    <col min="778" max="778" width="10.6640625" bestFit="1" customWidth="1"/>
    <col min="779" max="779" width="12.83203125" customWidth="1"/>
    <col min="780" max="781" width="11.6640625" bestFit="1" customWidth="1"/>
    <col min="782" max="782" width="10.6640625" bestFit="1" customWidth="1"/>
    <col min="1032" max="1032" width="28.6640625" bestFit="1" customWidth="1"/>
    <col min="1033" max="1033" width="15.1640625" bestFit="1" customWidth="1"/>
    <col min="1034" max="1034" width="10.6640625" bestFit="1" customWidth="1"/>
    <col min="1035" max="1035" width="12.83203125" customWidth="1"/>
    <col min="1036" max="1037" width="11.6640625" bestFit="1" customWidth="1"/>
    <col min="1038" max="1038" width="10.6640625" bestFit="1" customWidth="1"/>
    <col min="1288" max="1288" width="28.6640625" bestFit="1" customWidth="1"/>
    <col min="1289" max="1289" width="15.1640625" bestFit="1" customWidth="1"/>
    <col min="1290" max="1290" width="10.6640625" bestFit="1" customWidth="1"/>
    <col min="1291" max="1291" width="12.83203125" customWidth="1"/>
    <col min="1292" max="1293" width="11.6640625" bestFit="1" customWidth="1"/>
    <col min="1294" max="1294" width="10.6640625" bestFit="1" customWidth="1"/>
    <col min="1544" max="1544" width="28.6640625" bestFit="1" customWidth="1"/>
    <col min="1545" max="1545" width="15.1640625" bestFit="1" customWidth="1"/>
    <col min="1546" max="1546" width="10.6640625" bestFit="1" customWidth="1"/>
    <col min="1547" max="1547" width="12.83203125" customWidth="1"/>
    <col min="1548" max="1549" width="11.6640625" bestFit="1" customWidth="1"/>
    <col min="1550" max="1550" width="10.6640625" bestFit="1" customWidth="1"/>
    <col min="1800" max="1800" width="28.6640625" bestFit="1" customWidth="1"/>
    <col min="1801" max="1801" width="15.1640625" bestFit="1" customWidth="1"/>
    <col min="1802" max="1802" width="10.6640625" bestFit="1" customWidth="1"/>
    <col min="1803" max="1803" width="12.83203125" customWidth="1"/>
    <col min="1804" max="1805" width="11.6640625" bestFit="1" customWidth="1"/>
    <col min="1806" max="1806" width="10.6640625" bestFit="1" customWidth="1"/>
    <col min="2056" max="2056" width="28.6640625" bestFit="1" customWidth="1"/>
    <col min="2057" max="2057" width="15.1640625" bestFit="1" customWidth="1"/>
    <col min="2058" max="2058" width="10.6640625" bestFit="1" customWidth="1"/>
    <col min="2059" max="2059" width="12.83203125" customWidth="1"/>
    <col min="2060" max="2061" width="11.6640625" bestFit="1" customWidth="1"/>
    <col min="2062" max="2062" width="10.6640625" bestFit="1" customWidth="1"/>
    <col min="2312" max="2312" width="28.6640625" bestFit="1" customWidth="1"/>
    <col min="2313" max="2313" width="15.1640625" bestFit="1" customWidth="1"/>
    <col min="2314" max="2314" width="10.6640625" bestFit="1" customWidth="1"/>
    <col min="2315" max="2315" width="12.83203125" customWidth="1"/>
    <col min="2316" max="2317" width="11.6640625" bestFit="1" customWidth="1"/>
    <col min="2318" max="2318" width="10.6640625" bestFit="1" customWidth="1"/>
    <col min="2568" max="2568" width="28.6640625" bestFit="1" customWidth="1"/>
    <col min="2569" max="2569" width="15.1640625" bestFit="1" customWidth="1"/>
    <col min="2570" max="2570" width="10.6640625" bestFit="1" customWidth="1"/>
    <col min="2571" max="2571" width="12.83203125" customWidth="1"/>
    <col min="2572" max="2573" width="11.6640625" bestFit="1" customWidth="1"/>
    <col min="2574" max="2574" width="10.6640625" bestFit="1" customWidth="1"/>
    <col min="2824" max="2824" width="28.6640625" bestFit="1" customWidth="1"/>
    <col min="2825" max="2825" width="15.1640625" bestFit="1" customWidth="1"/>
    <col min="2826" max="2826" width="10.6640625" bestFit="1" customWidth="1"/>
    <col min="2827" max="2827" width="12.83203125" customWidth="1"/>
    <col min="2828" max="2829" width="11.6640625" bestFit="1" customWidth="1"/>
    <col min="2830" max="2830" width="10.6640625" bestFit="1" customWidth="1"/>
    <col min="3080" max="3080" width="28.6640625" bestFit="1" customWidth="1"/>
    <col min="3081" max="3081" width="15.1640625" bestFit="1" customWidth="1"/>
    <col min="3082" max="3082" width="10.6640625" bestFit="1" customWidth="1"/>
    <col min="3083" max="3083" width="12.83203125" customWidth="1"/>
    <col min="3084" max="3085" width="11.6640625" bestFit="1" customWidth="1"/>
    <col min="3086" max="3086" width="10.6640625" bestFit="1" customWidth="1"/>
    <col min="3336" max="3336" width="28.6640625" bestFit="1" customWidth="1"/>
    <col min="3337" max="3337" width="15.1640625" bestFit="1" customWidth="1"/>
    <col min="3338" max="3338" width="10.6640625" bestFit="1" customWidth="1"/>
    <col min="3339" max="3339" width="12.83203125" customWidth="1"/>
    <col min="3340" max="3341" width="11.6640625" bestFit="1" customWidth="1"/>
    <col min="3342" max="3342" width="10.6640625" bestFit="1" customWidth="1"/>
    <col min="3592" max="3592" width="28.6640625" bestFit="1" customWidth="1"/>
    <col min="3593" max="3593" width="15.1640625" bestFit="1" customWidth="1"/>
    <col min="3594" max="3594" width="10.6640625" bestFit="1" customWidth="1"/>
    <col min="3595" max="3595" width="12.83203125" customWidth="1"/>
    <col min="3596" max="3597" width="11.6640625" bestFit="1" customWidth="1"/>
    <col min="3598" max="3598" width="10.6640625" bestFit="1" customWidth="1"/>
    <col min="3848" max="3848" width="28.6640625" bestFit="1" customWidth="1"/>
    <col min="3849" max="3849" width="15.1640625" bestFit="1" customWidth="1"/>
    <col min="3850" max="3850" width="10.6640625" bestFit="1" customWidth="1"/>
    <col min="3851" max="3851" width="12.83203125" customWidth="1"/>
    <col min="3852" max="3853" width="11.6640625" bestFit="1" customWidth="1"/>
    <col min="3854" max="3854" width="10.6640625" bestFit="1" customWidth="1"/>
    <col min="4104" max="4104" width="28.6640625" bestFit="1" customWidth="1"/>
    <col min="4105" max="4105" width="15.1640625" bestFit="1" customWidth="1"/>
    <col min="4106" max="4106" width="10.6640625" bestFit="1" customWidth="1"/>
    <col min="4107" max="4107" width="12.83203125" customWidth="1"/>
    <col min="4108" max="4109" width="11.6640625" bestFit="1" customWidth="1"/>
    <col min="4110" max="4110" width="10.6640625" bestFit="1" customWidth="1"/>
    <col min="4360" max="4360" width="28.6640625" bestFit="1" customWidth="1"/>
    <col min="4361" max="4361" width="15.1640625" bestFit="1" customWidth="1"/>
    <col min="4362" max="4362" width="10.6640625" bestFit="1" customWidth="1"/>
    <col min="4363" max="4363" width="12.83203125" customWidth="1"/>
    <col min="4364" max="4365" width="11.6640625" bestFit="1" customWidth="1"/>
    <col min="4366" max="4366" width="10.6640625" bestFit="1" customWidth="1"/>
    <col min="4616" max="4616" width="28.6640625" bestFit="1" customWidth="1"/>
    <col min="4617" max="4617" width="15.1640625" bestFit="1" customWidth="1"/>
    <col min="4618" max="4618" width="10.6640625" bestFit="1" customWidth="1"/>
    <col min="4619" max="4619" width="12.83203125" customWidth="1"/>
    <col min="4620" max="4621" width="11.6640625" bestFit="1" customWidth="1"/>
    <col min="4622" max="4622" width="10.6640625" bestFit="1" customWidth="1"/>
    <col min="4872" max="4872" width="28.6640625" bestFit="1" customWidth="1"/>
    <col min="4873" max="4873" width="15.1640625" bestFit="1" customWidth="1"/>
    <col min="4874" max="4874" width="10.6640625" bestFit="1" customWidth="1"/>
    <col min="4875" max="4875" width="12.83203125" customWidth="1"/>
    <col min="4876" max="4877" width="11.6640625" bestFit="1" customWidth="1"/>
    <col min="4878" max="4878" width="10.6640625" bestFit="1" customWidth="1"/>
    <col min="5128" max="5128" width="28.6640625" bestFit="1" customWidth="1"/>
    <col min="5129" max="5129" width="15.1640625" bestFit="1" customWidth="1"/>
    <col min="5130" max="5130" width="10.6640625" bestFit="1" customWidth="1"/>
    <col min="5131" max="5131" width="12.83203125" customWidth="1"/>
    <col min="5132" max="5133" width="11.6640625" bestFit="1" customWidth="1"/>
    <col min="5134" max="5134" width="10.6640625" bestFit="1" customWidth="1"/>
    <col min="5384" max="5384" width="28.6640625" bestFit="1" customWidth="1"/>
    <col min="5385" max="5385" width="15.1640625" bestFit="1" customWidth="1"/>
    <col min="5386" max="5386" width="10.6640625" bestFit="1" customWidth="1"/>
    <col min="5387" max="5387" width="12.83203125" customWidth="1"/>
    <col min="5388" max="5389" width="11.6640625" bestFit="1" customWidth="1"/>
    <col min="5390" max="5390" width="10.6640625" bestFit="1" customWidth="1"/>
    <col min="5640" max="5640" width="28.6640625" bestFit="1" customWidth="1"/>
    <col min="5641" max="5641" width="15.1640625" bestFit="1" customWidth="1"/>
    <col min="5642" max="5642" width="10.6640625" bestFit="1" customWidth="1"/>
    <col min="5643" max="5643" width="12.83203125" customWidth="1"/>
    <col min="5644" max="5645" width="11.6640625" bestFit="1" customWidth="1"/>
    <col min="5646" max="5646" width="10.6640625" bestFit="1" customWidth="1"/>
    <col min="5896" max="5896" width="28.6640625" bestFit="1" customWidth="1"/>
    <col min="5897" max="5897" width="15.1640625" bestFit="1" customWidth="1"/>
    <col min="5898" max="5898" width="10.6640625" bestFit="1" customWidth="1"/>
    <col min="5899" max="5899" width="12.83203125" customWidth="1"/>
    <col min="5900" max="5901" width="11.6640625" bestFit="1" customWidth="1"/>
    <col min="5902" max="5902" width="10.6640625" bestFit="1" customWidth="1"/>
    <col min="6152" max="6152" width="28.6640625" bestFit="1" customWidth="1"/>
    <col min="6153" max="6153" width="15.1640625" bestFit="1" customWidth="1"/>
    <col min="6154" max="6154" width="10.6640625" bestFit="1" customWidth="1"/>
    <col min="6155" max="6155" width="12.83203125" customWidth="1"/>
    <col min="6156" max="6157" width="11.6640625" bestFit="1" customWidth="1"/>
    <col min="6158" max="6158" width="10.6640625" bestFit="1" customWidth="1"/>
    <col min="6408" max="6408" width="28.6640625" bestFit="1" customWidth="1"/>
    <col min="6409" max="6409" width="15.1640625" bestFit="1" customWidth="1"/>
    <col min="6410" max="6410" width="10.6640625" bestFit="1" customWidth="1"/>
    <col min="6411" max="6411" width="12.83203125" customWidth="1"/>
    <col min="6412" max="6413" width="11.6640625" bestFit="1" customWidth="1"/>
    <col min="6414" max="6414" width="10.6640625" bestFit="1" customWidth="1"/>
    <col min="6664" max="6664" width="28.6640625" bestFit="1" customWidth="1"/>
    <col min="6665" max="6665" width="15.1640625" bestFit="1" customWidth="1"/>
    <col min="6666" max="6666" width="10.6640625" bestFit="1" customWidth="1"/>
    <col min="6667" max="6667" width="12.83203125" customWidth="1"/>
    <col min="6668" max="6669" width="11.6640625" bestFit="1" customWidth="1"/>
    <col min="6670" max="6670" width="10.6640625" bestFit="1" customWidth="1"/>
    <col min="6920" max="6920" width="28.6640625" bestFit="1" customWidth="1"/>
    <col min="6921" max="6921" width="15.1640625" bestFit="1" customWidth="1"/>
    <col min="6922" max="6922" width="10.6640625" bestFit="1" customWidth="1"/>
    <col min="6923" max="6923" width="12.83203125" customWidth="1"/>
    <col min="6924" max="6925" width="11.6640625" bestFit="1" customWidth="1"/>
    <col min="6926" max="6926" width="10.6640625" bestFit="1" customWidth="1"/>
    <col min="7176" max="7176" width="28.6640625" bestFit="1" customWidth="1"/>
    <col min="7177" max="7177" width="15.1640625" bestFit="1" customWidth="1"/>
    <col min="7178" max="7178" width="10.6640625" bestFit="1" customWidth="1"/>
    <col min="7179" max="7179" width="12.83203125" customWidth="1"/>
    <col min="7180" max="7181" width="11.6640625" bestFit="1" customWidth="1"/>
    <col min="7182" max="7182" width="10.6640625" bestFit="1" customWidth="1"/>
    <col min="7432" max="7432" width="28.6640625" bestFit="1" customWidth="1"/>
    <col min="7433" max="7433" width="15.1640625" bestFit="1" customWidth="1"/>
    <col min="7434" max="7434" width="10.6640625" bestFit="1" customWidth="1"/>
    <col min="7435" max="7435" width="12.83203125" customWidth="1"/>
    <col min="7436" max="7437" width="11.6640625" bestFit="1" customWidth="1"/>
    <col min="7438" max="7438" width="10.6640625" bestFit="1" customWidth="1"/>
    <col min="7688" max="7688" width="28.6640625" bestFit="1" customWidth="1"/>
    <col min="7689" max="7689" width="15.1640625" bestFit="1" customWidth="1"/>
    <col min="7690" max="7690" width="10.6640625" bestFit="1" customWidth="1"/>
    <col min="7691" max="7691" width="12.83203125" customWidth="1"/>
    <col min="7692" max="7693" width="11.6640625" bestFit="1" customWidth="1"/>
    <col min="7694" max="7694" width="10.6640625" bestFit="1" customWidth="1"/>
    <col min="7944" max="7944" width="28.6640625" bestFit="1" customWidth="1"/>
    <col min="7945" max="7945" width="15.1640625" bestFit="1" customWidth="1"/>
    <col min="7946" max="7946" width="10.6640625" bestFit="1" customWidth="1"/>
    <col min="7947" max="7947" width="12.83203125" customWidth="1"/>
    <col min="7948" max="7949" width="11.6640625" bestFit="1" customWidth="1"/>
    <col min="7950" max="7950" width="10.6640625" bestFit="1" customWidth="1"/>
    <col min="8200" max="8200" width="28.6640625" bestFit="1" customWidth="1"/>
    <col min="8201" max="8201" width="15.1640625" bestFit="1" customWidth="1"/>
    <col min="8202" max="8202" width="10.6640625" bestFit="1" customWidth="1"/>
    <col min="8203" max="8203" width="12.83203125" customWidth="1"/>
    <col min="8204" max="8205" width="11.6640625" bestFit="1" customWidth="1"/>
    <col min="8206" max="8206" width="10.6640625" bestFit="1" customWidth="1"/>
    <col min="8456" max="8456" width="28.6640625" bestFit="1" customWidth="1"/>
    <col min="8457" max="8457" width="15.1640625" bestFit="1" customWidth="1"/>
    <col min="8458" max="8458" width="10.6640625" bestFit="1" customWidth="1"/>
    <col min="8459" max="8459" width="12.83203125" customWidth="1"/>
    <col min="8460" max="8461" width="11.6640625" bestFit="1" customWidth="1"/>
    <col min="8462" max="8462" width="10.6640625" bestFit="1" customWidth="1"/>
    <col min="8712" max="8712" width="28.6640625" bestFit="1" customWidth="1"/>
    <col min="8713" max="8713" width="15.1640625" bestFit="1" customWidth="1"/>
    <col min="8714" max="8714" width="10.6640625" bestFit="1" customWidth="1"/>
    <col min="8715" max="8715" width="12.83203125" customWidth="1"/>
    <col min="8716" max="8717" width="11.6640625" bestFit="1" customWidth="1"/>
    <col min="8718" max="8718" width="10.6640625" bestFit="1" customWidth="1"/>
    <col min="8968" max="8968" width="28.6640625" bestFit="1" customWidth="1"/>
    <col min="8969" max="8969" width="15.1640625" bestFit="1" customWidth="1"/>
    <col min="8970" max="8970" width="10.6640625" bestFit="1" customWidth="1"/>
    <col min="8971" max="8971" width="12.83203125" customWidth="1"/>
    <col min="8972" max="8973" width="11.6640625" bestFit="1" customWidth="1"/>
    <col min="8974" max="8974" width="10.6640625" bestFit="1" customWidth="1"/>
    <col min="9224" max="9224" width="28.6640625" bestFit="1" customWidth="1"/>
    <col min="9225" max="9225" width="15.1640625" bestFit="1" customWidth="1"/>
    <col min="9226" max="9226" width="10.6640625" bestFit="1" customWidth="1"/>
    <col min="9227" max="9227" width="12.83203125" customWidth="1"/>
    <col min="9228" max="9229" width="11.6640625" bestFit="1" customWidth="1"/>
    <col min="9230" max="9230" width="10.6640625" bestFit="1" customWidth="1"/>
    <col min="9480" max="9480" width="28.6640625" bestFit="1" customWidth="1"/>
    <col min="9481" max="9481" width="15.1640625" bestFit="1" customWidth="1"/>
    <col min="9482" max="9482" width="10.6640625" bestFit="1" customWidth="1"/>
    <col min="9483" max="9483" width="12.83203125" customWidth="1"/>
    <col min="9484" max="9485" width="11.6640625" bestFit="1" customWidth="1"/>
    <col min="9486" max="9486" width="10.6640625" bestFit="1" customWidth="1"/>
    <col min="9736" max="9736" width="28.6640625" bestFit="1" customWidth="1"/>
    <col min="9737" max="9737" width="15.1640625" bestFit="1" customWidth="1"/>
    <col min="9738" max="9738" width="10.6640625" bestFit="1" customWidth="1"/>
    <col min="9739" max="9739" width="12.83203125" customWidth="1"/>
    <col min="9740" max="9741" width="11.6640625" bestFit="1" customWidth="1"/>
    <col min="9742" max="9742" width="10.6640625" bestFit="1" customWidth="1"/>
    <col min="9992" max="9992" width="28.6640625" bestFit="1" customWidth="1"/>
    <col min="9993" max="9993" width="15.1640625" bestFit="1" customWidth="1"/>
    <col min="9994" max="9994" width="10.6640625" bestFit="1" customWidth="1"/>
    <col min="9995" max="9995" width="12.83203125" customWidth="1"/>
    <col min="9996" max="9997" width="11.6640625" bestFit="1" customWidth="1"/>
    <col min="9998" max="9998" width="10.6640625" bestFit="1" customWidth="1"/>
    <col min="10248" max="10248" width="28.6640625" bestFit="1" customWidth="1"/>
    <col min="10249" max="10249" width="15.1640625" bestFit="1" customWidth="1"/>
    <col min="10250" max="10250" width="10.6640625" bestFit="1" customWidth="1"/>
    <col min="10251" max="10251" width="12.83203125" customWidth="1"/>
    <col min="10252" max="10253" width="11.6640625" bestFit="1" customWidth="1"/>
    <col min="10254" max="10254" width="10.6640625" bestFit="1" customWidth="1"/>
    <col min="10504" max="10504" width="28.6640625" bestFit="1" customWidth="1"/>
    <col min="10505" max="10505" width="15.1640625" bestFit="1" customWidth="1"/>
    <col min="10506" max="10506" width="10.6640625" bestFit="1" customWidth="1"/>
    <col min="10507" max="10507" width="12.83203125" customWidth="1"/>
    <col min="10508" max="10509" width="11.6640625" bestFit="1" customWidth="1"/>
    <col min="10510" max="10510" width="10.6640625" bestFit="1" customWidth="1"/>
    <col min="10760" max="10760" width="28.6640625" bestFit="1" customWidth="1"/>
    <col min="10761" max="10761" width="15.1640625" bestFit="1" customWidth="1"/>
    <col min="10762" max="10762" width="10.6640625" bestFit="1" customWidth="1"/>
    <col min="10763" max="10763" width="12.83203125" customWidth="1"/>
    <col min="10764" max="10765" width="11.6640625" bestFit="1" customWidth="1"/>
    <col min="10766" max="10766" width="10.6640625" bestFit="1" customWidth="1"/>
    <col min="11016" max="11016" width="28.6640625" bestFit="1" customWidth="1"/>
    <col min="11017" max="11017" width="15.1640625" bestFit="1" customWidth="1"/>
    <col min="11018" max="11018" width="10.6640625" bestFit="1" customWidth="1"/>
    <col min="11019" max="11019" width="12.83203125" customWidth="1"/>
    <col min="11020" max="11021" width="11.6640625" bestFit="1" customWidth="1"/>
    <col min="11022" max="11022" width="10.6640625" bestFit="1" customWidth="1"/>
    <col min="11272" max="11272" width="28.6640625" bestFit="1" customWidth="1"/>
    <col min="11273" max="11273" width="15.1640625" bestFit="1" customWidth="1"/>
    <col min="11274" max="11274" width="10.6640625" bestFit="1" customWidth="1"/>
    <col min="11275" max="11275" width="12.83203125" customWidth="1"/>
    <col min="11276" max="11277" width="11.6640625" bestFit="1" customWidth="1"/>
    <col min="11278" max="11278" width="10.6640625" bestFit="1" customWidth="1"/>
    <col min="11528" max="11528" width="28.6640625" bestFit="1" customWidth="1"/>
    <col min="11529" max="11529" width="15.1640625" bestFit="1" customWidth="1"/>
    <col min="11530" max="11530" width="10.6640625" bestFit="1" customWidth="1"/>
    <col min="11531" max="11531" width="12.83203125" customWidth="1"/>
    <col min="11532" max="11533" width="11.6640625" bestFit="1" customWidth="1"/>
    <col min="11534" max="11534" width="10.6640625" bestFit="1" customWidth="1"/>
    <col min="11784" max="11784" width="28.6640625" bestFit="1" customWidth="1"/>
    <col min="11785" max="11785" width="15.1640625" bestFit="1" customWidth="1"/>
    <col min="11786" max="11786" width="10.6640625" bestFit="1" customWidth="1"/>
    <col min="11787" max="11787" width="12.83203125" customWidth="1"/>
    <col min="11788" max="11789" width="11.6640625" bestFit="1" customWidth="1"/>
    <col min="11790" max="11790" width="10.6640625" bestFit="1" customWidth="1"/>
    <col min="12040" max="12040" width="28.6640625" bestFit="1" customWidth="1"/>
    <col min="12041" max="12041" width="15.1640625" bestFit="1" customWidth="1"/>
    <col min="12042" max="12042" width="10.6640625" bestFit="1" customWidth="1"/>
    <col min="12043" max="12043" width="12.83203125" customWidth="1"/>
    <col min="12044" max="12045" width="11.6640625" bestFit="1" customWidth="1"/>
    <col min="12046" max="12046" width="10.6640625" bestFit="1" customWidth="1"/>
    <col min="12296" max="12296" width="28.6640625" bestFit="1" customWidth="1"/>
    <col min="12297" max="12297" width="15.1640625" bestFit="1" customWidth="1"/>
    <col min="12298" max="12298" width="10.6640625" bestFit="1" customWidth="1"/>
    <col min="12299" max="12299" width="12.83203125" customWidth="1"/>
    <col min="12300" max="12301" width="11.6640625" bestFit="1" customWidth="1"/>
    <col min="12302" max="12302" width="10.6640625" bestFit="1" customWidth="1"/>
    <col min="12552" max="12552" width="28.6640625" bestFit="1" customWidth="1"/>
    <col min="12553" max="12553" width="15.1640625" bestFit="1" customWidth="1"/>
    <col min="12554" max="12554" width="10.6640625" bestFit="1" customWidth="1"/>
    <col min="12555" max="12555" width="12.83203125" customWidth="1"/>
    <col min="12556" max="12557" width="11.6640625" bestFit="1" customWidth="1"/>
    <col min="12558" max="12558" width="10.6640625" bestFit="1" customWidth="1"/>
    <col min="12808" max="12808" width="28.6640625" bestFit="1" customWidth="1"/>
    <col min="12809" max="12809" width="15.1640625" bestFit="1" customWidth="1"/>
    <col min="12810" max="12810" width="10.6640625" bestFit="1" customWidth="1"/>
    <col min="12811" max="12811" width="12.83203125" customWidth="1"/>
    <col min="12812" max="12813" width="11.6640625" bestFit="1" customWidth="1"/>
    <col min="12814" max="12814" width="10.6640625" bestFit="1" customWidth="1"/>
    <col min="13064" max="13064" width="28.6640625" bestFit="1" customWidth="1"/>
    <col min="13065" max="13065" width="15.1640625" bestFit="1" customWidth="1"/>
    <col min="13066" max="13066" width="10.6640625" bestFit="1" customWidth="1"/>
    <col min="13067" max="13067" width="12.83203125" customWidth="1"/>
    <col min="13068" max="13069" width="11.6640625" bestFit="1" customWidth="1"/>
    <col min="13070" max="13070" width="10.6640625" bestFit="1" customWidth="1"/>
    <col min="13320" max="13320" width="28.6640625" bestFit="1" customWidth="1"/>
    <col min="13321" max="13321" width="15.1640625" bestFit="1" customWidth="1"/>
    <col min="13322" max="13322" width="10.6640625" bestFit="1" customWidth="1"/>
    <col min="13323" max="13323" width="12.83203125" customWidth="1"/>
    <col min="13324" max="13325" width="11.6640625" bestFit="1" customWidth="1"/>
    <col min="13326" max="13326" width="10.6640625" bestFit="1" customWidth="1"/>
    <col min="13576" max="13576" width="28.6640625" bestFit="1" customWidth="1"/>
    <col min="13577" max="13577" width="15.1640625" bestFit="1" customWidth="1"/>
    <col min="13578" max="13578" width="10.6640625" bestFit="1" customWidth="1"/>
    <col min="13579" max="13579" width="12.83203125" customWidth="1"/>
    <col min="13580" max="13581" width="11.6640625" bestFit="1" customWidth="1"/>
    <col min="13582" max="13582" width="10.6640625" bestFit="1" customWidth="1"/>
    <col min="13832" max="13832" width="28.6640625" bestFit="1" customWidth="1"/>
    <col min="13833" max="13833" width="15.1640625" bestFit="1" customWidth="1"/>
    <col min="13834" max="13834" width="10.6640625" bestFit="1" customWidth="1"/>
    <col min="13835" max="13835" width="12.83203125" customWidth="1"/>
    <col min="13836" max="13837" width="11.6640625" bestFit="1" customWidth="1"/>
    <col min="13838" max="13838" width="10.6640625" bestFit="1" customWidth="1"/>
    <col min="14088" max="14088" width="28.6640625" bestFit="1" customWidth="1"/>
    <col min="14089" max="14089" width="15.1640625" bestFit="1" customWidth="1"/>
    <col min="14090" max="14090" width="10.6640625" bestFit="1" customWidth="1"/>
    <col min="14091" max="14091" width="12.83203125" customWidth="1"/>
    <col min="14092" max="14093" width="11.6640625" bestFit="1" customWidth="1"/>
    <col min="14094" max="14094" width="10.6640625" bestFit="1" customWidth="1"/>
    <col min="14344" max="14344" width="28.6640625" bestFit="1" customWidth="1"/>
    <col min="14345" max="14345" width="15.1640625" bestFit="1" customWidth="1"/>
    <col min="14346" max="14346" width="10.6640625" bestFit="1" customWidth="1"/>
    <col min="14347" max="14347" width="12.83203125" customWidth="1"/>
    <col min="14348" max="14349" width="11.6640625" bestFit="1" customWidth="1"/>
    <col min="14350" max="14350" width="10.6640625" bestFit="1" customWidth="1"/>
    <col min="14600" max="14600" width="28.6640625" bestFit="1" customWidth="1"/>
    <col min="14601" max="14601" width="15.1640625" bestFit="1" customWidth="1"/>
    <col min="14602" max="14602" width="10.6640625" bestFit="1" customWidth="1"/>
    <col min="14603" max="14603" width="12.83203125" customWidth="1"/>
    <col min="14604" max="14605" width="11.6640625" bestFit="1" customWidth="1"/>
    <col min="14606" max="14606" width="10.6640625" bestFit="1" customWidth="1"/>
    <col min="14856" max="14856" width="28.6640625" bestFit="1" customWidth="1"/>
    <col min="14857" max="14857" width="15.1640625" bestFit="1" customWidth="1"/>
    <col min="14858" max="14858" width="10.6640625" bestFit="1" customWidth="1"/>
    <col min="14859" max="14859" width="12.83203125" customWidth="1"/>
    <col min="14860" max="14861" width="11.6640625" bestFit="1" customWidth="1"/>
    <col min="14862" max="14862" width="10.6640625" bestFit="1" customWidth="1"/>
    <col min="15112" max="15112" width="28.6640625" bestFit="1" customWidth="1"/>
    <col min="15113" max="15113" width="15.1640625" bestFit="1" customWidth="1"/>
    <col min="15114" max="15114" width="10.6640625" bestFit="1" customWidth="1"/>
    <col min="15115" max="15115" width="12.83203125" customWidth="1"/>
    <col min="15116" max="15117" width="11.6640625" bestFit="1" customWidth="1"/>
    <col min="15118" max="15118" width="10.6640625" bestFit="1" customWidth="1"/>
    <col min="15368" max="15368" width="28.6640625" bestFit="1" customWidth="1"/>
    <col min="15369" max="15369" width="15.1640625" bestFit="1" customWidth="1"/>
    <col min="15370" max="15370" width="10.6640625" bestFit="1" customWidth="1"/>
    <col min="15371" max="15371" width="12.83203125" customWidth="1"/>
    <col min="15372" max="15373" width="11.6640625" bestFit="1" customWidth="1"/>
    <col min="15374" max="15374" width="10.6640625" bestFit="1" customWidth="1"/>
    <col min="15624" max="15624" width="28.6640625" bestFit="1" customWidth="1"/>
    <col min="15625" max="15625" width="15.1640625" bestFit="1" customWidth="1"/>
    <col min="15626" max="15626" width="10.6640625" bestFit="1" customWidth="1"/>
    <col min="15627" max="15627" width="12.83203125" customWidth="1"/>
    <col min="15628" max="15629" width="11.6640625" bestFit="1" customWidth="1"/>
    <col min="15630" max="15630" width="10.6640625" bestFit="1" customWidth="1"/>
    <col min="15880" max="15880" width="28.6640625" bestFit="1" customWidth="1"/>
    <col min="15881" max="15881" width="15.1640625" bestFit="1" customWidth="1"/>
    <col min="15882" max="15882" width="10.6640625" bestFit="1" customWidth="1"/>
    <col min="15883" max="15883" width="12.83203125" customWidth="1"/>
    <col min="15884" max="15885" width="11.6640625" bestFit="1" customWidth="1"/>
    <col min="15886" max="15886" width="10.6640625" bestFit="1" customWidth="1"/>
    <col min="16136" max="16136" width="28.6640625" bestFit="1" customWidth="1"/>
    <col min="16137" max="16137" width="15.1640625" bestFit="1" customWidth="1"/>
    <col min="16138" max="16138" width="10.6640625" bestFit="1" customWidth="1"/>
    <col min="16139" max="16139" width="12.83203125" customWidth="1"/>
    <col min="16140" max="16141" width="11.6640625" bestFit="1" customWidth="1"/>
    <col min="16142" max="16142" width="10.6640625" bestFit="1" customWidth="1"/>
  </cols>
  <sheetData>
    <row r="1" spans="2:17" ht="15" thickBot="1"/>
    <row r="2" spans="2:17" ht="18" thickBot="1">
      <c r="B2" s="79" t="s">
        <v>59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2:17" ht="17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2:17" ht="23" customHeight="1" thickBot="1">
      <c r="B4" s="85" t="s">
        <v>74</v>
      </c>
      <c r="C4" s="8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t="s">
        <v>72</v>
      </c>
    </row>
    <row r="5" spans="2:17" ht="15">
      <c r="B5" s="4" t="s">
        <v>0</v>
      </c>
      <c r="C5" s="77" t="s">
        <v>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2:17">
      <c r="B6" s="1" t="s">
        <v>1</v>
      </c>
      <c r="C6" s="62" t="s">
        <v>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2:17">
      <c r="B7" s="1" t="s">
        <v>2</v>
      </c>
      <c r="C7" s="62" t="s">
        <v>62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spans="2:17">
      <c r="B8" s="1" t="s">
        <v>3</v>
      </c>
      <c r="C8" s="62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2:17">
      <c r="B9" s="1" t="s">
        <v>5</v>
      </c>
      <c r="C9" s="63">
        <v>104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2:17">
      <c r="B10" s="1" t="s">
        <v>76</v>
      </c>
      <c r="C10" s="64">
        <v>1191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</row>
    <row r="11" spans="2:17">
      <c r="B11" s="1" t="s">
        <v>6</v>
      </c>
      <c r="C11" s="64">
        <v>123864</v>
      </c>
      <c r="D11" s="2"/>
      <c r="E11" s="61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</row>
    <row r="12" spans="2:17">
      <c r="B12" s="1" t="s">
        <v>7</v>
      </c>
      <c r="C12" s="65">
        <v>42825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2:17">
      <c r="B13" s="1" t="s">
        <v>75</v>
      </c>
      <c r="C13" s="63">
        <v>10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2:17">
      <c r="B14" s="5" t="s">
        <v>8</v>
      </c>
      <c r="C14" s="66">
        <v>0.11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</row>
    <row r="15" spans="2:17">
      <c r="B15" s="5" t="s">
        <v>9</v>
      </c>
      <c r="C15" s="66">
        <v>0.09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2:17" ht="15" thickBot="1">
      <c r="B16" s="6" t="s">
        <v>10</v>
      </c>
      <c r="C16" s="67">
        <v>0.05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2:16">
      <c r="B17" s="5" t="s">
        <v>65</v>
      </c>
      <c r="C17" s="66">
        <v>0.25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</row>
    <row r="18" spans="2:16">
      <c r="B18" s="5" t="s">
        <v>66</v>
      </c>
      <c r="C18" s="66">
        <v>0.75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2:16">
      <c r="B19" s="5" t="s">
        <v>69</v>
      </c>
      <c r="C19" s="68">
        <v>700020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</row>
    <row r="20" spans="2:16">
      <c r="B20" s="5" t="s">
        <v>70</v>
      </c>
      <c r="C20" s="68">
        <v>6040273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2:16" ht="15" thickBot="1">
      <c r="B21" s="5" t="s">
        <v>71</v>
      </c>
      <c r="C21" s="68">
        <v>6740293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</row>
    <row r="22" spans="2:16" ht="15" thickBot="1">
      <c r="B22" s="7" t="s">
        <v>11</v>
      </c>
      <c r="C22" s="7" t="s">
        <v>12</v>
      </c>
      <c r="D22" s="7" t="s">
        <v>12</v>
      </c>
      <c r="E22" s="7" t="s">
        <v>12</v>
      </c>
      <c r="F22" s="9"/>
      <c r="G22" s="8"/>
      <c r="H22" s="2"/>
      <c r="I22" s="2"/>
      <c r="J22" s="2"/>
      <c r="K22" s="2"/>
      <c r="L22" s="2"/>
      <c r="M22" s="2"/>
      <c r="N22" s="2"/>
      <c r="O22" s="2"/>
      <c r="P22" s="3"/>
    </row>
    <row r="23" spans="2:16">
      <c r="B23" s="1" t="s">
        <v>13</v>
      </c>
      <c r="C23" s="69" t="s">
        <v>14</v>
      </c>
      <c r="D23" s="69" t="s">
        <v>63</v>
      </c>
      <c r="E23" s="69" t="s">
        <v>64</v>
      </c>
      <c r="F23" s="10"/>
      <c r="G23" s="11"/>
      <c r="H23" s="9"/>
      <c r="I23" s="2"/>
      <c r="J23" s="2"/>
      <c r="K23" s="2"/>
      <c r="L23" s="2"/>
      <c r="M23" s="2"/>
      <c r="N23" s="2"/>
      <c r="O23" s="2"/>
      <c r="P23" s="3"/>
    </row>
    <row r="24" spans="2:16">
      <c r="B24" s="5" t="s">
        <v>15</v>
      </c>
      <c r="C24" s="70">
        <v>24</v>
      </c>
      <c r="D24" s="70">
        <v>50</v>
      </c>
      <c r="E24" s="70">
        <v>30</v>
      </c>
      <c r="F24" s="2"/>
      <c r="G24" s="12"/>
      <c r="H24" s="13"/>
      <c r="I24" s="2"/>
      <c r="J24" s="2"/>
      <c r="K24" s="2"/>
      <c r="L24" s="2"/>
      <c r="M24" s="2"/>
      <c r="N24" s="2"/>
      <c r="O24" s="2"/>
      <c r="P24" s="3"/>
    </row>
    <row r="25" spans="2:16">
      <c r="B25" s="5" t="s">
        <v>16</v>
      </c>
      <c r="C25" s="71">
        <v>950</v>
      </c>
      <c r="D25" s="71">
        <v>1250</v>
      </c>
      <c r="E25" s="71">
        <v>1500</v>
      </c>
      <c r="F25" s="2"/>
      <c r="G25" s="14"/>
      <c r="H25" s="2"/>
      <c r="I25" s="2"/>
      <c r="J25" s="2"/>
      <c r="K25" s="2"/>
      <c r="L25" s="2"/>
      <c r="M25" s="2"/>
      <c r="N25" s="2"/>
      <c r="O25" s="2"/>
      <c r="P25" s="3"/>
    </row>
    <row r="26" spans="2:16">
      <c r="B26" s="5" t="s">
        <v>17</v>
      </c>
      <c r="C26" s="64">
        <v>1</v>
      </c>
      <c r="D26" s="64">
        <v>1</v>
      </c>
      <c r="E26" s="64">
        <v>1</v>
      </c>
      <c r="F26" s="2"/>
      <c r="G26" s="15"/>
      <c r="H26" s="2"/>
      <c r="I26" s="2"/>
      <c r="J26" s="2"/>
      <c r="K26" s="2"/>
      <c r="L26" s="2"/>
      <c r="M26" s="2"/>
      <c r="N26" s="2"/>
      <c r="O26" s="2"/>
      <c r="P26" s="3"/>
    </row>
    <row r="27" spans="2:16">
      <c r="B27" s="5" t="s">
        <v>18</v>
      </c>
      <c r="C27" s="72">
        <f>(C28*C25)+C25</f>
        <v>969</v>
      </c>
      <c r="D27" s="72">
        <f t="shared" ref="D27:E27" si="0">(D28*D25)+D25</f>
        <v>1275</v>
      </c>
      <c r="E27" s="72">
        <f t="shared" si="0"/>
        <v>1530</v>
      </c>
      <c r="F27" s="2"/>
      <c r="G27" s="16"/>
      <c r="H27" s="2"/>
      <c r="I27" s="2"/>
      <c r="J27" s="2"/>
      <c r="K27" s="2"/>
      <c r="L27" s="2"/>
      <c r="M27" s="2"/>
      <c r="N27" s="2"/>
      <c r="O27" s="2"/>
      <c r="P27" s="3"/>
    </row>
    <row r="28" spans="2:16">
      <c r="B28" s="5" t="s">
        <v>19</v>
      </c>
      <c r="C28" s="73">
        <v>0.02</v>
      </c>
      <c r="D28" s="73">
        <v>0.02</v>
      </c>
      <c r="E28" s="73">
        <v>0.02</v>
      </c>
      <c r="F28" s="2"/>
      <c r="G28" s="18"/>
      <c r="H28" s="2"/>
      <c r="I28" s="2"/>
      <c r="J28" s="2"/>
      <c r="K28" s="2"/>
      <c r="L28" s="2"/>
      <c r="M28" s="2"/>
      <c r="N28" s="2"/>
      <c r="O28" s="2"/>
      <c r="P28" s="3"/>
    </row>
    <row r="29" spans="2:16">
      <c r="B29" s="5" t="s">
        <v>68</v>
      </c>
      <c r="C29" s="74">
        <v>25</v>
      </c>
      <c r="D29" s="74">
        <v>40</v>
      </c>
      <c r="E29" s="74">
        <v>50</v>
      </c>
      <c r="F29" s="2"/>
      <c r="G29" s="18"/>
      <c r="H29" s="2"/>
      <c r="I29" s="2"/>
      <c r="J29" s="2"/>
      <c r="K29" s="2"/>
      <c r="L29" s="2"/>
      <c r="M29" s="2"/>
      <c r="N29" s="2"/>
      <c r="O29" s="2"/>
      <c r="P29" s="3"/>
    </row>
    <row r="30" spans="2:16">
      <c r="B30" s="5" t="s">
        <v>20</v>
      </c>
      <c r="C30" s="71">
        <v>120</v>
      </c>
      <c r="D30" s="71">
        <v>140</v>
      </c>
      <c r="E30" s="71">
        <v>150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</row>
    <row r="31" spans="2:16">
      <c r="B31" s="5" t="s">
        <v>21</v>
      </c>
      <c r="C31" s="73">
        <v>0.01</v>
      </c>
      <c r="D31" s="73">
        <v>0.01</v>
      </c>
      <c r="E31" s="73">
        <v>0.01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2:16">
      <c r="B32" s="5" t="s">
        <v>67</v>
      </c>
      <c r="C32" s="66">
        <v>5.8000000000000003E-2</v>
      </c>
      <c r="D32" s="75"/>
      <c r="E32" s="75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2:19">
      <c r="B33" s="5" t="s">
        <v>22</v>
      </c>
      <c r="C33" s="73">
        <v>0.05</v>
      </c>
      <c r="D33" s="75"/>
      <c r="E33" s="75"/>
      <c r="F33" s="2"/>
      <c r="G33" s="2"/>
      <c r="H33" s="2"/>
      <c r="I33" s="2"/>
      <c r="J33" s="2"/>
      <c r="K33" s="2"/>
      <c r="L33" s="2"/>
      <c r="M33" s="2"/>
      <c r="N33" s="2"/>
      <c r="O33" s="2"/>
      <c r="P33" s="3"/>
    </row>
    <row r="34" spans="2:19" ht="15" thickBot="1">
      <c r="B34" s="6" t="s">
        <v>23</v>
      </c>
      <c r="C34" s="76">
        <v>0.01</v>
      </c>
      <c r="D34" s="20"/>
      <c r="E34" s="10"/>
      <c r="F34" s="20"/>
      <c r="G34" s="10"/>
      <c r="H34" s="20"/>
      <c r="I34" s="2"/>
      <c r="J34" s="2"/>
      <c r="K34" s="2"/>
      <c r="L34" s="2"/>
      <c r="M34" s="2"/>
      <c r="N34" s="2"/>
      <c r="O34" s="2"/>
      <c r="P34" s="3"/>
    </row>
    <row r="35" spans="2:19" ht="15" thickBot="1">
      <c r="B35" s="5"/>
      <c r="C35" s="10"/>
      <c r="D35" s="20"/>
      <c r="E35" s="10"/>
      <c r="F35" s="20"/>
      <c r="G35" s="10"/>
      <c r="H35" s="20"/>
      <c r="I35" s="2"/>
      <c r="J35" s="2"/>
      <c r="K35" s="2"/>
      <c r="L35" s="2"/>
      <c r="M35" s="2"/>
      <c r="N35" s="2"/>
      <c r="O35" s="2"/>
      <c r="P35" s="3"/>
    </row>
    <row r="36" spans="2:19" ht="15" thickBot="1">
      <c r="B36" s="4"/>
      <c r="C36" s="7" t="s">
        <v>24</v>
      </c>
      <c r="D36" s="7" t="s">
        <v>25</v>
      </c>
      <c r="E36" s="7" t="s">
        <v>26</v>
      </c>
      <c r="F36" s="7" t="s">
        <v>27</v>
      </c>
      <c r="G36" s="2"/>
      <c r="H36" s="2"/>
      <c r="I36" s="2"/>
      <c r="J36" s="2"/>
      <c r="K36" s="2"/>
      <c r="L36" s="2"/>
      <c r="M36" s="2"/>
      <c r="N36" s="2"/>
      <c r="O36" s="2"/>
      <c r="P36" s="3"/>
    </row>
    <row r="37" spans="2:19">
      <c r="B37" s="5" t="s">
        <v>28</v>
      </c>
      <c r="C37" s="21">
        <v>0</v>
      </c>
      <c r="D37" s="22">
        <f>80904.78+30864.14+8877.54+21346.53+40973.34</f>
        <v>182966.33</v>
      </c>
      <c r="E37" s="22">
        <v>0</v>
      </c>
      <c r="F37" s="17">
        <v>1.4999999999999999E-2</v>
      </c>
      <c r="G37" s="2"/>
      <c r="H37" s="2"/>
      <c r="I37" s="2"/>
      <c r="J37" s="2"/>
      <c r="K37" s="2"/>
      <c r="L37" s="2"/>
      <c r="M37" s="2"/>
      <c r="N37" s="2"/>
      <c r="O37" s="2"/>
      <c r="P37" s="3"/>
    </row>
    <row r="38" spans="2:19">
      <c r="B38" s="5" t="s">
        <v>29</v>
      </c>
      <c r="C38" s="21">
        <v>0</v>
      </c>
      <c r="D38" s="22">
        <v>60000</v>
      </c>
      <c r="E38" s="22">
        <v>0</v>
      </c>
      <c r="F38" s="17">
        <v>0.03</v>
      </c>
      <c r="G38" s="23"/>
      <c r="H38" s="9"/>
      <c r="I38" s="2"/>
      <c r="J38" s="2"/>
      <c r="K38" s="2"/>
      <c r="L38" s="2"/>
      <c r="M38" s="2"/>
      <c r="N38" s="2"/>
      <c r="O38" s="2"/>
      <c r="P38" s="3"/>
    </row>
    <row r="39" spans="2:19" ht="17">
      <c r="B39" s="5" t="s">
        <v>30</v>
      </c>
      <c r="C39" s="21">
        <v>0</v>
      </c>
      <c r="D39" s="22">
        <f>(C21/300000)*12*800</f>
        <v>215689.37599999999</v>
      </c>
      <c r="E39" s="22">
        <v>150</v>
      </c>
      <c r="F39" s="17">
        <v>0.03</v>
      </c>
      <c r="G39" s="55"/>
      <c r="H39" s="9"/>
      <c r="I39" s="2"/>
      <c r="J39" s="2"/>
      <c r="K39" s="2"/>
      <c r="L39" s="2"/>
      <c r="M39" s="2"/>
      <c r="N39" s="2"/>
      <c r="O39" s="2"/>
      <c r="P39" s="3"/>
      <c r="S39" s="57"/>
    </row>
    <row r="40" spans="2:19" ht="17">
      <c r="B40" s="5" t="s">
        <v>31</v>
      </c>
      <c r="C40" s="21">
        <v>0.03</v>
      </c>
      <c r="D40" s="22">
        <v>0</v>
      </c>
      <c r="E40" s="22">
        <v>0</v>
      </c>
      <c r="F40" s="17">
        <v>0</v>
      </c>
      <c r="G40" s="55"/>
      <c r="H40" s="2"/>
      <c r="I40" s="2"/>
      <c r="J40" s="2"/>
      <c r="K40" s="2"/>
      <c r="L40" s="2"/>
      <c r="M40" s="2"/>
      <c r="N40" s="2"/>
      <c r="O40" s="2"/>
      <c r="P40" s="3"/>
    </row>
    <row r="41" spans="2:19">
      <c r="B41" s="5" t="s">
        <v>32</v>
      </c>
      <c r="C41" s="21">
        <v>0</v>
      </c>
      <c r="D41" s="22">
        <v>8000</v>
      </c>
      <c r="E41" s="22">
        <v>0</v>
      </c>
      <c r="F41" s="17">
        <v>0.02</v>
      </c>
      <c r="G41" s="56"/>
      <c r="H41" s="2"/>
      <c r="I41" s="2"/>
      <c r="J41" s="2"/>
      <c r="K41" s="2"/>
      <c r="L41" s="2"/>
      <c r="M41" s="2"/>
      <c r="N41" s="2"/>
      <c r="O41" s="2"/>
      <c r="P41" s="3"/>
    </row>
    <row r="42" spans="2:19">
      <c r="B42" s="5" t="s">
        <v>33</v>
      </c>
      <c r="C42" s="21">
        <v>0.12</v>
      </c>
      <c r="D42" s="22">
        <v>0</v>
      </c>
      <c r="E42" s="22">
        <v>0</v>
      </c>
      <c r="F42" s="17">
        <v>0</v>
      </c>
      <c r="G42" s="2"/>
      <c r="H42" s="2"/>
      <c r="I42" s="2"/>
      <c r="J42" s="2"/>
      <c r="K42" s="2"/>
      <c r="L42" s="2"/>
      <c r="M42" s="2"/>
      <c r="N42" s="2"/>
      <c r="O42" s="2"/>
      <c r="P42" s="3"/>
    </row>
    <row r="43" spans="2:19">
      <c r="B43" s="5" t="s">
        <v>34</v>
      </c>
      <c r="C43" s="21">
        <v>0</v>
      </c>
      <c r="D43" s="22">
        <v>55000</v>
      </c>
      <c r="E43" s="22">
        <v>0</v>
      </c>
      <c r="F43" s="17">
        <v>0.03</v>
      </c>
      <c r="G43" s="9"/>
      <c r="H43" s="9"/>
      <c r="I43" s="2"/>
      <c r="J43" s="2"/>
      <c r="K43" s="2"/>
      <c r="L43" s="2"/>
      <c r="M43" s="2"/>
      <c r="N43" s="2"/>
      <c r="O43" s="2"/>
      <c r="P43" s="3"/>
    </row>
    <row r="44" spans="2:19">
      <c r="B44" s="5" t="s">
        <v>73</v>
      </c>
      <c r="C44" s="21"/>
      <c r="D44" s="22">
        <v>11900</v>
      </c>
      <c r="E44" s="22"/>
      <c r="F44" s="17"/>
      <c r="G44" s="9"/>
      <c r="H44" s="9"/>
      <c r="I44" s="2"/>
      <c r="J44" s="2"/>
      <c r="K44" s="2"/>
      <c r="L44" s="2"/>
      <c r="M44" s="2"/>
      <c r="N44" s="2"/>
      <c r="O44" s="2"/>
      <c r="P44" s="3"/>
    </row>
    <row r="45" spans="2:19" ht="15" thickBot="1">
      <c r="B45" s="6" t="s">
        <v>35</v>
      </c>
      <c r="C45" s="24">
        <v>0</v>
      </c>
      <c r="D45" s="25">
        <v>15000</v>
      </c>
      <c r="E45" s="25">
        <v>0</v>
      </c>
      <c r="F45" s="26">
        <v>0.03</v>
      </c>
      <c r="G45" s="2"/>
      <c r="H45" s="2"/>
      <c r="I45" s="2"/>
      <c r="J45" s="2"/>
      <c r="K45" s="2"/>
      <c r="L45" s="2"/>
      <c r="M45" s="2"/>
      <c r="N45" s="2"/>
      <c r="O45" s="2"/>
      <c r="P45" s="3"/>
    </row>
    <row r="46" spans="2:19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</row>
    <row r="47" spans="2:19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</row>
    <row r="48" spans="2:19" ht="15" thickBot="1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</row>
    <row r="49" spans="2:16" ht="15" thickBot="1">
      <c r="B49" s="82" t="s">
        <v>36</v>
      </c>
      <c r="C49" s="83"/>
      <c r="D49" s="83"/>
      <c r="E49" s="83"/>
      <c r="F49" s="83"/>
      <c r="G49" s="83"/>
      <c r="H49" s="84"/>
      <c r="I49" s="82"/>
      <c r="J49" s="83"/>
      <c r="K49" s="83"/>
      <c r="L49" s="83"/>
      <c r="M49" s="83"/>
      <c r="N49" s="83"/>
      <c r="O49" s="84"/>
      <c r="P49" s="3"/>
    </row>
    <row r="50" spans="2:16" ht="15" thickBot="1">
      <c r="B50" s="7" t="s">
        <v>37</v>
      </c>
      <c r="C50" s="7">
        <v>1</v>
      </c>
      <c r="D50" s="7">
        <f t="shared" ref="D50:I50" si="1">C$50+1</f>
        <v>2</v>
      </c>
      <c r="E50" s="7">
        <f t="shared" si="1"/>
        <v>3</v>
      </c>
      <c r="F50" s="7">
        <f t="shared" si="1"/>
        <v>4</v>
      </c>
      <c r="G50" s="7">
        <f t="shared" si="1"/>
        <v>5</v>
      </c>
      <c r="H50" s="7">
        <f t="shared" si="1"/>
        <v>6</v>
      </c>
      <c r="I50" s="7">
        <f t="shared" si="1"/>
        <v>7</v>
      </c>
      <c r="J50" s="7">
        <f t="shared" ref="J50:N50" si="2">I$50+1</f>
        <v>8</v>
      </c>
      <c r="K50" s="7">
        <f t="shared" si="2"/>
        <v>9</v>
      </c>
      <c r="L50" s="7">
        <f t="shared" si="2"/>
        <v>10</v>
      </c>
      <c r="M50" s="7">
        <f t="shared" si="2"/>
        <v>11</v>
      </c>
      <c r="N50" s="7">
        <f t="shared" si="2"/>
        <v>12</v>
      </c>
      <c r="O50" s="2"/>
      <c r="P50" s="3"/>
    </row>
    <row r="51" spans="2:16">
      <c r="B51" s="19" t="s">
        <v>38</v>
      </c>
      <c r="C51" s="27"/>
      <c r="D51" s="27"/>
      <c r="E51" s="27"/>
      <c r="F51" s="27"/>
      <c r="G51" s="27"/>
      <c r="H51" s="28"/>
      <c r="I51" s="2"/>
      <c r="J51" s="2"/>
      <c r="K51" s="2"/>
      <c r="L51" s="2"/>
      <c r="M51" s="2"/>
      <c r="N51" s="2"/>
      <c r="O51" s="2"/>
      <c r="P51" s="3"/>
    </row>
    <row r="52" spans="2:16">
      <c r="B52" s="5" t="s">
        <v>77</v>
      </c>
      <c r="C52" s="29">
        <f>((C24*C25)+(D24*D25)+(E24*E25))*12</f>
        <v>1563600</v>
      </c>
      <c r="D52" s="29">
        <f>($C$28*C52)+C52</f>
        <v>1594872</v>
      </c>
      <c r="E52" s="29">
        <f t="shared" ref="E52:M52" si="3">($C$28*D52)+D52</f>
        <v>1626769.44</v>
      </c>
      <c r="F52" s="29">
        <f t="shared" si="3"/>
        <v>1659304.8288</v>
      </c>
      <c r="G52" s="29">
        <f t="shared" si="3"/>
        <v>1692490.9253760001</v>
      </c>
      <c r="H52" s="29">
        <f t="shared" si="3"/>
        <v>1726340.7438835201</v>
      </c>
      <c r="I52" s="78">
        <f t="shared" si="3"/>
        <v>1760867.5587611906</v>
      </c>
      <c r="J52" s="78">
        <f t="shared" si="3"/>
        <v>1796084.9099364143</v>
      </c>
      <c r="K52" s="78">
        <f t="shared" si="3"/>
        <v>1832006.6081351426</v>
      </c>
      <c r="L52" s="78">
        <f t="shared" si="3"/>
        <v>1868646.7402978456</v>
      </c>
      <c r="M52" s="78">
        <f t="shared" si="3"/>
        <v>1906019.6751038025</v>
      </c>
      <c r="N52" s="2"/>
      <c r="O52" s="2"/>
      <c r="P52" s="3"/>
    </row>
    <row r="53" spans="2:16">
      <c r="B53" s="5" t="s">
        <v>39</v>
      </c>
      <c r="C53" s="31">
        <f>($C$30*$C$24)+($D$30*$D$24)+($E$30*$E$24)</f>
        <v>14380</v>
      </c>
      <c r="D53" s="32">
        <f>C53*(1+$C$31)</f>
        <v>14523.8</v>
      </c>
      <c r="E53" s="32">
        <f t="shared" ref="E53:M53" si="4">D53*(1+$C$31)</f>
        <v>14669.037999999999</v>
      </c>
      <c r="F53" s="32">
        <f t="shared" si="4"/>
        <v>14815.728379999999</v>
      </c>
      <c r="G53" s="32">
        <f t="shared" si="4"/>
        <v>14963.885663799998</v>
      </c>
      <c r="H53" s="32">
        <f t="shared" si="4"/>
        <v>15113.524520437999</v>
      </c>
      <c r="I53" s="32">
        <f t="shared" si="4"/>
        <v>15264.659765642378</v>
      </c>
      <c r="J53" s="32">
        <f t="shared" si="4"/>
        <v>15417.306363298801</v>
      </c>
      <c r="K53" s="32">
        <f t="shared" si="4"/>
        <v>15571.47942693179</v>
      </c>
      <c r="L53" s="32">
        <f t="shared" si="4"/>
        <v>15727.194221201107</v>
      </c>
      <c r="M53" s="32">
        <f t="shared" si="4"/>
        <v>15884.466163413119</v>
      </c>
      <c r="N53" s="2"/>
      <c r="O53" s="2"/>
      <c r="P53" s="3"/>
    </row>
    <row r="54" spans="2:16">
      <c r="B54" s="19" t="s">
        <v>40</v>
      </c>
      <c r="C54" s="31">
        <f t="shared" ref="C54:H54" si="5">SUM(C52:C53)</f>
        <v>1577980</v>
      </c>
      <c r="D54" s="31">
        <f t="shared" si="5"/>
        <v>1609395.8</v>
      </c>
      <c r="E54" s="31">
        <f t="shared" si="5"/>
        <v>1641438.4779999999</v>
      </c>
      <c r="F54" s="31">
        <f t="shared" si="5"/>
        <v>1674120.55718</v>
      </c>
      <c r="G54" s="31">
        <f t="shared" si="5"/>
        <v>1707454.8110398001</v>
      </c>
      <c r="H54" s="33">
        <f t="shared" si="5"/>
        <v>1741454.2684039581</v>
      </c>
      <c r="I54" s="33">
        <f t="shared" ref="I54:M54" si="6">SUM(I52:I53)</f>
        <v>1776132.218526833</v>
      </c>
      <c r="J54" s="33">
        <f t="shared" si="6"/>
        <v>1811502.2162997131</v>
      </c>
      <c r="K54" s="33">
        <f t="shared" si="6"/>
        <v>1847578.0875620744</v>
      </c>
      <c r="L54" s="33">
        <f t="shared" si="6"/>
        <v>1884373.9345190467</v>
      </c>
      <c r="M54" s="33">
        <f t="shared" si="6"/>
        <v>1921904.1412672156</v>
      </c>
      <c r="N54" s="2"/>
      <c r="O54" s="2"/>
      <c r="P54" s="3"/>
    </row>
    <row r="55" spans="2:16">
      <c r="B55" s="5" t="s">
        <v>41</v>
      </c>
      <c r="C55" s="29">
        <f>(C52)*$C$33</f>
        <v>78180</v>
      </c>
      <c r="D55" s="29">
        <f t="shared" ref="D55:M55" si="7">(D52)*$C$33</f>
        <v>79743.600000000006</v>
      </c>
      <c r="E55" s="29">
        <f t="shared" si="7"/>
        <v>81338.472000000009</v>
      </c>
      <c r="F55" s="29">
        <f t="shared" si="7"/>
        <v>82965.241440000013</v>
      </c>
      <c r="G55" s="29">
        <f t="shared" si="7"/>
        <v>84624.546268800012</v>
      </c>
      <c r="H55" s="29">
        <f t="shared" si="7"/>
        <v>86317.03719417601</v>
      </c>
      <c r="I55" s="29">
        <f t="shared" si="7"/>
        <v>88043.377938059537</v>
      </c>
      <c r="J55" s="29">
        <f t="shared" si="7"/>
        <v>89804.245496820717</v>
      </c>
      <c r="K55" s="29">
        <f t="shared" si="7"/>
        <v>91600.33040675713</v>
      </c>
      <c r="L55" s="29">
        <f t="shared" si="7"/>
        <v>93432.337014892284</v>
      </c>
      <c r="M55" s="29">
        <f t="shared" si="7"/>
        <v>95300.983755190129</v>
      </c>
      <c r="N55" s="2"/>
      <c r="O55" s="2"/>
      <c r="P55" s="3"/>
    </row>
    <row r="56" spans="2:16">
      <c r="B56" s="5" t="s">
        <v>42</v>
      </c>
      <c r="C56" s="29">
        <f t="shared" ref="C56:M56" si="8">C54*$C$34</f>
        <v>15779.800000000001</v>
      </c>
      <c r="D56" s="29">
        <f t="shared" si="8"/>
        <v>16093.958000000001</v>
      </c>
      <c r="E56" s="29">
        <f t="shared" si="8"/>
        <v>16414.38478</v>
      </c>
      <c r="F56" s="29">
        <f t="shared" si="8"/>
        <v>16741.205571800001</v>
      </c>
      <c r="G56" s="29">
        <f t="shared" si="8"/>
        <v>17074.548110398002</v>
      </c>
      <c r="H56" s="30">
        <f t="shared" si="8"/>
        <v>17414.542684039581</v>
      </c>
      <c r="I56" s="30">
        <f t="shared" si="8"/>
        <v>17761.322185268331</v>
      </c>
      <c r="J56" s="30">
        <f t="shared" si="8"/>
        <v>18115.022162997131</v>
      </c>
      <c r="K56" s="30">
        <f t="shared" si="8"/>
        <v>18475.780875620745</v>
      </c>
      <c r="L56" s="30">
        <f t="shared" si="8"/>
        <v>18843.739345190468</v>
      </c>
      <c r="M56" s="30">
        <f t="shared" si="8"/>
        <v>19219.041412672155</v>
      </c>
      <c r="N56" s="2"/>
      <c r="O56" s="2"/>
      <c r="P56" s="3"/>
    </row>
    <row r="57" spans="2:16">
      <c r="B57" s="19" t="s">
        <v>43</v>
      </c>
      <c r="C57" s="29">
        <f t="shared" ref="C57:M57" si="9">C54-C55-C56</f>
        <v>1484020.2</v>
      </c>
      <c r="D57" s="29">
        <f t="shared" si="9"/>
        <v>1513558.2419999999</v>
      </c>
      <c r="E57" s="29">
        <f t="shared" si="9"/>
        <v>1543685.6212199999</v>
      </c>
      <c r="F57" s="29">
        <f t="shared" si="9"/>
        <v>1574414.1101682</v>
      </c>
      <c r="G57" s="29">
        <f t="shared" si="9"/>
        <v>1605755.716660602</v>
      </c>
      <c r="H57" s="30">
        <f t="shared" si="9"/>
        <v>1637722.6885257424</v>
      </c>
      <c r="I57" s="30">
        <f t="shared" si="9"/>
        <v>1670327.518403505</v>
      </c>
      <c r="J57" s="30">
        <f t="shared" si="9"/>
        <v>1703582.9486398953</v>
      </c>
      <c r="K57" s="30">
        <f t="shared" si="9"/>
        <v>1737501.9762796967</v>
      </c>
      <c r="L57" s="30">
        <f t="shared" si="9"/>
        <v>1772097.8581589637</v>
      </c>
      <c r="M57" s="30">
        <f t="shared" si="9"/>
        <v>1807384.1160993532</v>
      </c>
      <c r="N57" s="2"/>
      <c r="O57" s="2"/>
      <c r="P57" s="3"/>
    </row>
    <row r="58" spans="2:16">
      <c r="B58" s="19"/>
      <c r="C58" s="29"/>
      <c r="D58" s="29"/>
      <c r="E58" s="29"/>
      <c r="F58" s="29"/>
      <c r="G58" s="29"/>
      <c r="H58" s="30"/>
      <c r="I58" s="2"/>
      <c r="J58" s="2"/>
      <c r="K58" s="2"/>
      <c r="L58" s="2"/>
      <c r="M58" s="2"/>
      <c r="N58" s="2"/>
      <c r="O58" s="2"/>
      <c r="P58" s="3"/>
    </row>
    <row r="59" spans="2:16">
      <c r="B59" s="19" t="s">
        <v>44</v>
      </c>
      <c r="C59" s="29"/>
      <c r="D59" s="29"/>
      <c r="E59" s="29"/>
      <c r="F59" s="29"/>
      <c r="G59" s="29"/>
      <c r="H59" s="30"/>
      <c r="I59" s="2"/>
      <c r="J59" s="2"/>
      <c r="K59" s="2"/>
      <c r="L59" s="2"/>
      <c r="M59" s="2"/>
      <c r="N59" s="2"/>
      <c r="O59" s="2"/>
      <c r="P59" s="3"/>
    </row>
    <row r="60" spans="2:16">
      <c r="B60" s="5" t="s">
        <v>28</v>
      </c>
      <c r="C60" s="29">
        <f t="shared" ref="C60:C66" si="10">IF(C37&gt;0,C37*C$57,IF(D37&gt;0,D37,IF(E37&gt;0,E37*$C$9,0)))</f>
        <v>182966.33</v>
      </c>
      <c r="D60" s="29">
        <f>$D$37*((1+$F$37)^C$50)</f>
        <v>185710.82494999998</v>
      </c>
      <c r="E60" s="29">
        <f t="shared" ref="E60:M60" si="11">$D$37*((1+$F$37)^D$50)</f>
        <v>188496.48732424993</v>
      </c>
      <c r="F60" s="29">
        <f t="shared" si="11"/>
        <v>191323.93463411366</v>
      </c>
      <c r="G60" s="29">
        <f t="shared" si="11"/>
        <v>194193.79365362533</v>
      </c>
      <c r="H60" s="29">
        <f t="shared" si="11"/>
        <v>197106.7005584297</v>
      </c>
      <c r="I60" s="29">
        <f t="shared" si="11"/>
        <v>200063.3010668061</v>
      </c>
      <c r="J60" s="29">
        <f t="shared" si="11"/>
        <v>203064.25058280816</v>
      </c>
      <c r="K60" s="29">
        <f t="shared" si="11"/>
        <v>206110.21434155028</v>
      </c>
      <c r="L60" s="29">
        <f t="shared" si="11"/>
        <v>209201.8675566735</v>
      </c>
      <c r="M60" s="29">
        <f t="shared" si="11"/>
        <v>212339.89557002357</v>
      </c>
      <c r="N60" s="2"/>
      <c r="O60" s="2"/>
      <c r="P60" s="3"/>
    </row>
    <row r="61" spans="2:16">
      <c r="B61" s="5" t="s">
        <v>29</v>
      </c>
      <c r="C61" s="29">
        <f t="shared" si="10"/>
        <v>60000</v>
      </c>
      <c r="D61" s="29">
        <f>$D$38*((1+$F$38)^C$50)</f>
        <v>61800</v>
      </c>
      <c r="E61" s="29">
        <f>$D$38*((1+$F$38)^D$50)</f>
        <v>63654</v>
      </c>
      <c r="F61" s="29">
        <f t="shared" ref="F61:M61" si="12">$D$38*((1+$F$38)^E$50)</f>
        <v>65563.62</v>
      </c>
      <c r="G61" s="29">
        <f t="shared" si="12"/>
        <v>67530.528599999991</v>
      </c>
      <c r="H61" s="29">
        <f t="shared" si="12"/>
        <v>69556.444457999984</v>
      </c>
      <c r="I61" s="29">
        <f t="shared" si="12"/>
        <v>71643.137791739995</v>
      </c>
      <c r="J61" s="29">
        <f t="shared" si="12"/>
        <v>73792.431925492201</v>
      </c>
      <c r="K61" s="29">
        <f t="shared" si="12"/>
        <v>76006.204883256956</v>
      </c>
      <c r="L61" s="29">
        <f t="shared" si="12"/>
        <v>78286.391029754668</v>
      </c>
      <c r="M61" s="29">
        <f t="shared" si="12"/>
        <v>80634.982760647312</v>
      </c>
      <c r="N61" s="2"/>
      <c r="O61" s="2"/>
      <c r="P61" s="3"/>
    </row>
    <row r="62" spans="2:16">
      <c r="B62" s="5" t="s">
        <v>30</v>
      </c>
      <c r="C62" s="29">
        <f t="shared" si="10"/>
        <v>215689.37599999999</v>
      </c>
      <c r="D62" s="29">
        <f>$D$39*((1+F39)^C$50)</f>
        <v>222160.05728000001</v>
      </c>
      <c r="E62" s="29">
        <f t="shared" ref="E62:M62" si="13">$D$39*((1+G39)^D$50)</f>
        <v>215689.37599999999</v>
      </c>
      <c r="F62" s="29">
        <f t="shared" si="13"/>
        <v>215689.37599999999</v>
      </c>
      <c r="G62" s="29">
        <f t="shared" si="13"/>
        <v>215689.37599999999</v>
      </c>
      <c r="H62" s="29">
        <f t="shared" si="13"/>
        <v>215689.37599999999</v>
      </c>
      <c r="I62" s="29">
        <f t="shared" si="13"/>
        <v>215689.37599999999</v>
      </c>
      <c r="J62" s="29">
        <f t="shared" si="13"/>
        <v>215689.37599999999</v>
      </c>
      <c r="K62" s="29">
        <f t="shared" si="13"/>
        <v>215689.37599999999</v>
      </c>
      <c r="L62" s="29">
        <f t="shared" si="13"/>
        <v>215689.37599999999</v>
      </c>
      <c r="M62" s="29">
        <f t="shared" si="13"/>
        <v>215689.37599999999</v>
      </c>
      <c r="N62" s="2"/>
      <c r="O62" s="2"/>
      <c r="P62" s="3"/>
    </row>
    <row r="63" spans="2:16">
      <c r="B63" s="5" t="s">
        <v>31</v>
      </c>
      <c r="C63" s="29">
        <f t="shared" si="10"/>
        <v>44520.606</v>
      </c>
      <c r="D63" s="29">
        <f>$C$40*D$57</f>
        <v>45406.747259999996</v>
      </c>
      <c r="E63" s="29">
        <f t="shared" ref="E63:M63" si="14">$C$40*E$57</f>
        <v>46310.568636599994</v>
      </c>
      <c r="F63" s="29">
        <f t="shared" si="14"/>
        <v>47232.423305045995</v>
      </c>
      <c r="G63" s="29">
        <f t="shared" si="14"/>
        <v>48172.671499818061</v>
      </c>
      <c r="H63" s="29">
        <f t="shared" si="14"/>
        <v>49131.680655772267</v>
      </c>
      <c r="I63" s="29">
        <f t="shared" si="14"/>
        <v>50109.825552105147</v>
      </c>
      <c r="J63" s="29">
        <f t="shared" si="14"/>
        <v>51107.488459196858</v>
      </c>
      <c r="K63" s="29">
        <f t="shared" si="14"/>
        <v>52125.059288390898</v>
      </c>
      <c r="L63" s="29">
        <f t="shared" si="14"/>
        <v>53162.935744768911</v>
      </c>
      <c r="M63" s="29">
        <f t="shared" si="14"/>
        <v>54221.523482980592</v>
      </c>
      <c r="N63" s="2"/>
      <c r="O63" s="2"/>
      <c r="P63" s="3"/>
    </row>
    <row r="64" spans="2:16">
      <c r="B64" s="5" t="s">
        <v>32</v>
      </c>
      <c r="C64" s="29">
        <f t="shared" si="10"/>
        <v>8000</v>
      </c>
      <c r="D64" s="29">
        <f>$D$41*((1+$F$41)^C$50)</f>
        <v>8160</v>
      </c>
      <c r="E64" s="29">
        <f t="shared" ref="E64:M64" si="15">$D$41*((1+$F$41)^D$50)</f>
        <v>8323.2000000000007</v>
      </c>
      <c r="F64" s="29">
        <f t="shared" si="15"/>
        <v>8489.6639999999989</v>
      </c>
      <c r="G64" s="29">
        <f t="shared" si="15"/>
        <v>8659.4572800000005</v>
      </c>
      <c r="H64" s="29">
        <f t="shared" si="15"/>
        <v>8832.6464255999999</v>
      </c>
      <c r="I64" s="29">
        <f t="shared" si="15"/>
        <v>9009.2993541120013</v>
      </c>
      <c r="J64" s="29">
        <f t="shared" si="15"/>
        <v>9189.4853411942386</v>
      </c>
      <c r="K64" s="29">
        <f t="shared" si="15"/>
        <v>9373.2750480181239</v>
      </c>
      <c r="L64" s="29">
        <f t="shared" si="15"/>
        <v>9560.7405489784869</v>
      </c>
      <c r="M64" s="29">
        <f t="shared" si="15"/>
        <v>9751.9553599580577</v>
      </c>
      <c r="N64" s="2"/>
      <c r="O64" s="2"/>
      <c r="P64" s="3"/>
    </row>
    <row r="65" spans="2:16">
      <c r="B65" s="5" t="s">
        <v>33</v>
      </c>
      <c r="C65" s="29">
        <f t="shared" si="10"/>
        <v>178082.424</v>
      </c>
      <c r="D65" s="29">
        <f>IF(C42&gt;0,C42*D$57,IF(D42&gt;0,D42*((1+F42)^C$50),IF(E42&gt;0,E42*$C$9*((1+F42)^C$50),0)))</f>
        <v>181626.98903999999</v>
      </c>
      <c r="E65" s="29">
        <f>IF(C42&gt;0,C42*E$57,IF(D42&gt;0,D42*((1+F42)^D$50),IF(E42&gt;0,E42*$C$9*((1+F42)^D$50),0)))</f>
        <v>185242.27454639997</v>
      </c>
      <c r="F65" s="29">
        <f>IF(C42&gt;0,C42*F$57,IF(D42&gt;0,D42*((1+F42)^E$50),IF(E42&gt;0,E42*$C$9*((1+F42)^E$50),0)))</f>
        <v>188929.69322018398</v>
      </c>
      <c r="G65" s="29">
        <f>IF(C42&gt;0,C42*G$57,IF(D42&gt;0,D42*((1+F42)^F$50),IF(E42&gt;0,E42*$C$9*((1+F42)^F$50),0)))</f>
        <v>192690.68599927225</v>
      </c>
      <c r="H65" s="30">
        <f>IF(C42&gt;0,C42*H$57,IF(D42&gt;0,D42*((1+F42)^G$50),IF(E42&gt;0,E42*$C$9*((1+F42)^G$50),0)))</f>
        <v>196526.72262308907</v>
      </c>
      <c r="I65" s="2"/>
      <c r="J65" s="2"/>
      <c r="K65" s="2"/>
      <c r="L65" s="2"/>
      <c r="M65" s="2"/>
      <c r="N65" s="2"/>
      <c r="O65" s="2"/>
      <c r="P65" s="3"/>
    </row>
    <row r="66" spans="2:16">
      <c r="B66" s="5" t="s">
        <v>34</v>
      </c>
      <c r="C66" s="29">
        <f t="shared" si="10"/>
        <v>55000</v>
      </c>
      <c r="D66" s="29">
        <f>IF(C43&gt;0,C43*D$57,IF(D43&gt;0,D43*((1+F43)^C$50),IF(E43&gt;0,E43*$C$9*((1+F43)^C$50),0)))</f>
        <v>56650</v>
      </c>
      <c r="E66" s="29">
        <f>IF(C43&gt;0,C43*E$57,IF(D43&gt;0,D43*((1+F43)^D$50),IF(E43&gt;0,E43*$C$9*((1+F43)^D$50),0)))</f>
        <v>58349.5</v>
      </c>
      <c r="F66" s="29">
        <f>IF(C43&gt;0,C43*F$57,IF(D43&gt;0,D43*((1+F43)^E$50),IF(E43&gt;0,E43*$C$9*((1+F43)^E$50),0)))</f>
        <v>60099.985000000001</v>
      </c>
      <c r="G66" s="29">
        <f>IF(C43&gt;0,C43*G$57,IF(D43&gt;0,D43*((1+F43)^F$50),IF(E43&gt;0,E43*$C$9*((1+F43)^F$50),0)))</f>
        <v>61902.984549999994</v>
      </c>
      <c r="H66" s="30">
        <f>IF(C43&gt;0,C43*H$57,IF(D43&gt;0,D43*((1+F43)^G$50),IF(E43&gt;0,E43*$C$9*((1+F43)^G$50),0)))</f>
        <v>63760.07408649999</v>
      </c>
      <c r="I66" s="2"/>
      <c r="J66" s="2"/>
      <c r="K66" s="2"/>
      <c r="L66" s="2"/>
      <c r="M66" s="2"/>
      <c r="N66" s="2"/>
      <c r="O66" s="2"/>
      <c r="P66" s="3"/>
    </row>
    <row r="67" spans="2:16">
      <c r="B67" s="5" t="s">
        <v>35</v>
      </c>
      <c r="C67" s="29">
        <f>IF(C45&gt;0,C45*C$57,IF(D45&gt;0,D45,IF(E45&gt;0,E45*$C$9,0)))</f>
        <v>15000</v>
      </c>
      <c r="D67" s="29">
        <f>IF(C45&gt;0,C45*D$57,IF(D45&gt;0,D45*((1+F45)^C$50),IF(E45&gt;0,E45*$C$9*((1+F45)^C$50),0)))</f>
        <v>15450</v>
      </c>
      <c r="E67" s="29">
        <f>IF(C45&gt;0,C45*E$57,IF(D45&gt;0,D45*((1+F45)^D$50),IF(E45&gt;0,E45*$C$9*((1+F45)^D$50),0)))</f>
        <v>15913.5</v>
      </c>
      <c r="F67" s="29">
        <f>IF(C45&gt;0,C45*F$57,IF(D45&gt;0,D45*((1+F45)^E$50),IF(E45&gt;0,E45*$C$9*((1+F45)^E$50),0)))</f>
        <v>16390.904999999999</v>
      </c>
      <c r="G67" s="29">
        <f>IF(C45&gt;0,C45*G$57,IF(D45&gt;0,D45*((1+F45)^F$50),IF(E45&gt;0,E45*$C$9*((1+F45)^F$50),0)))</f>
        <v>16882.632149999998</v>
      </c>
      <c r="H67" s="30">
        <f>IF(C45&gt;0,C45*H$57,IF(D45&gt;0,D45*((1+F45)^G$50),IF(E45&gt;0,E45*$C$9*((1+F45)^G$50),0)))</f>
        <v>17389.111114499996</v>
      </c>
      <c r="I67" s="2"/>
      <c r="J67" s="2"/>
      <c r="K67" s="2"/>
      <c r="L67" s="2"/>
      <c r="M67" s="2"/>
      <c r="N67" s="2"/>
      <c r="O67" s="2"/>
      <c r="P67" s="3"/>
    </row>
    <row r="68" spans="2:16">
      <c r="B68" s="19" t="s">
        <v>45</v>
      </c>
      <c r="C68" s="31">
        <f t="shared" ref="C68:H68" si="16">SUM(C60:C67)</f>
        <v>759258.73600000003</v>
      </c>
      <c r="D68" s="31">
        <f t="shared" si="16"/>
        <v>776964.61852999998</v>
      </c>
      <c r="E68" s="31">
        <f t="shared" si="16"/>
        <v>781978.90650724992</v>
      </c>
      <c r="F68" s="31">
        <f t="shared" si="16"/>
        <v>793719.60115934361</v>
      </c>
      <c r="G68" s="31">
        <f t="shared" si="16"/>
        <v>805722.12973271566</v>
      </c>
      <c r="H68" s="33">
        <f t="shared" si="16"/>
        <v>817992.75592189108</v>
      </c>
      <c r="I68" s="2"/>
      <c r="J68" s="2"/>
      <c r="K68" s="2"/>
      <c r="L68" s="2"/>
      <c r="M68" s="2"/>
      <c r="N68" s="2"/>
      <c r="O68" s="2"/>
      <c r="P68" s="3"/>
    </row>
    <row r="69" spans="2:16">
      <c r="B69" s="19"/>
      <c r="C69" s="31"/>
      <c r="D69" s="31"/>
      <c r="E69" s="31"/>
      <c r="F69" s="31"/>
      <c r="G69" s="31"/>
      <c r="H69" s="33"/>
      <c r="I69" s="2"/>
      <c r="J69" s="2"/>
      <c r="K69" s="2"/>
      <c r="L69" s="2"/>
      <c r="M69" s="2"/>
      <c r="N69" s="2"/>
      <c r="O69" s="2"/>
      <c r="P69" s="3"/>
    </row>
    <row r="70" spans="2:16">
      <c r="B70" s="19" t="s">
        <v>46</v>
      </c>
      <c r="C70" s="31">
        <f t="shared" ref="C70:H70" si="17">C57-C68</f>
        <v>724761.46399999992</v>
      </c>
      <c r="D70" s="31">
        <f t="shared" si="17"/>
        <v>736593.62346999987</v>
      </c>
      <c r="E70" s="31">
        <f t="shared" si="17"/>
        <v>761706.71471274993</v>
      </c>
      <c r="F70" s="31">
        <f t="shared" si="17"/>
        <v>780694.50900885637</v>
      </c>
      <c r="G70" s="31">
        <f t="shared" si="17"/>
        <v>800033.58692788635</v>
      </c>
      <c r="H70" s="33">
        <f t="shared" si="17"/>
        <v>819729.93260385131</v>
      </c>
      <c r="I70" s="2"/>
      <c r="J70" s="2"/>
      <c r="K70" s="2"/>
      <c r="L70" s="2"/>
      <c r="M70" s="2"/>
      <c r="N70" s="2"/>
      <c r="O70" s="2"/>
      <c r="P70" s="3"/>
    </row>
    <row r="71" spans="2:16">
      <c r="B71" s="1"/>
      <c r="C71" s="2"/>
      <c r="D71" s="2"/>
      <c r="E71" s="2"/>
      <c r="F71" s="2"/>
      <c r="G71" s="2"/>
      <c r="H71" s="3"/>
      <c r="I71" s="2"/>
      <c r="J71" s="2"/>
      <c r="K71" s="2"/>
      <c r="L71" s="2"/>
      <c r="M71" s="2"/>
      <c r="N71" s="2"/>
      <c r="O71" s="2"/>
      <c r="P71" s="3"/>
    </row>
    <row r="72" spans="2:16">
      <c r="B72" s="5" t="s">
        <v>47</v>
      </c>
      <c r="C72" s="34">
        <f t="shared" ref="C72:H72" si="18">C68/C57</f>
        <v>0.51162291187141529</v>
      </c>
      <c r="D72" s="34">
        <f t="shared" si="18"/>
        <v>0.51333645245347626</v>
      </c>
      <c r="E72" s="34">
        <f t="shared" si="18"/>
        <v>0.50656616590704473</v>
      </c>
      <c r="F72" s="34">
        <f t="shared" si="18"/>
        <v>0.50413648863611105</v>
      </c>
      <c r="G72" s="34">
        <f t="shared" si="18"/>
        <v>0.50177129769671924</v>
      </c>
      <c r="H72" s="35">
        <f t="shared" si="18"/>
        <v>0.49946963649764053</v>
      </c>
      <c r="I72" s="2"/>
      <c r="J72" s="2"/>
      <c r="K72" s="2"/>
      <c r="L72" s="2"/>
      <c r="M72" s="2"/>
      <c r="N72" s="2"/>
      <c r="O72" s="2"/>
      <c r="P72" s="3"/>
    </row>
    <row r="73" spans="2:16">
      <c r="B73" s="1"/>
      <c r="C73" s="2"/>
      <c r="D73" s="2"/>
      <c r="E73" s="2"/>
      <c r="F73" s="2"/>
      <c r="G73" s="2"/>
      <c r="H73" s="3"/>
      <c r="I73" s="2"/>
      <c r="J73" s="2"/>
      <c r="K73" s="2"/>
      <c r="L73" s="2"/>
      <c r="M73" s="2"/>
      <c r="N73" s="2"/>
      <c r="O73" s="2"/>
      <c r="P73" s="3"/>
    </row>
    <row r="74" spans="2:16">
      <c r="B74" s="1"/>
      <c r="C74" s="36"/>
      <c r="D74" s="36"/>
      <c r="E74" s="36"/>
      <c r="F74" s="36"/>
      <c r="G74" s="36"/>
      <c r="H74" s="37"/>
      <c r="I74" s="2"/>
      <c r="J74" s="2"/>
      <c r="K74" s="2"/>
      <c r="L74" s="2"/>
      <c r="M74" s="2"/>
      <c r="N74" s="2"/>
      <c r="O74" s="2"/>
      <c r="P74" s="3"/>
    </row>
    <row r="75" spans="2:16">
      <c r="B75" s="5" t="s">
        <v>48</v>
      </c>
      <c r="C75" s="38">
        <f t="shared" ref="C75:H75" si="19">C70</f>
        <v>724761.46399999992</v>
      </c>
      <c r="D75" s="38">
        <f t="shared" si="19"/>
        <v>736593.62346999987</v>
      </c>
      <c r="E75" s="38">
        <f t="shared" si="19"/>
        <v>761706.71471274993</v>
      </c>
      <c r="F75" s="38">
        <f t="shared" si="19"/>
        <v>780694.50900885637</v>
      </c>
      <c r="G75" s="38">
        <f t="shared" si="19"/>
        <v>800033.58692788635</v>
      </c>
      <c r="H75" s="39">
        <f t="shared" si="19"/>
        <v>819729.93260385131</v>
      </c>
      <c r="I75" s="2"/>
      <c r="J75" s="2"/>
      <c r="K75" s="2"/>
      <c r="L75" s="2"/>
      <c r="M75" s="2"/>
      <c r="N75" s="2"/>
      <c r="O75" s="2"/>
      <c r="P75" s="3"/>
    </row>
    <row r="76" spans="2:16">
      <c r="B76" s="5" t="s">
        <v>49</v>
      </c>
      <c r="C76" s="40">
        <f>(1/((1+$C$14)^C50))</f>
        <v>0.9009009009009008</v>
      </c>
      <c r="D76" s="40">
        <f>(1/((1+$C$14)^D50))</f>
        <v>0.8116224332440547</v>
      </c>
      <c r="E76" s="40">
        <f>(1/((1+$C$14)^E50))</f>
        <v>0.73119138130095018</v>
      </c>
      <c r="F76" s="40">
        <f>(1/((1+$C$14)^F50))</f>
        <v>0.65873097414500015</v>
      </c>
      <c r="G76" s="40">
        <f>(1/((1+$C$14)^G50))</f>
        <v>0.5934513280585586</v>
      </c>
      <c r="H76" s="41"/>
      <c r="I76" s="2"/>
      <c r="J76" s="2"/>
      <c r="K76" s="2"/>
      <c r="L76" s="2"/>
      <c r="M76" s="2"/>
      <c r="N76" s="2"/>
      <c r="O76" s="2"/>
      <c r="P76" s="3"/>
    </row>
    <row r="77" spans="2:16">
      <c r="B77" s="5" t="s">
        <v>50</v>
      </c>
      <c r="C77" s="38">
        <f>C75*C76</f>
        <v>652938.25585585576</v>
      </c>
      <c r="D77" s="38">
        <f>D75*(1/((1+$C$14)^D50))</f>
        <v>597835.9089927763</v>
      </c>
      <c r="E77" s="38">
        <f>E75*(1/((1+$C$14)^E50))</f>
        <v>556953.38487702445</v>
      </c>
      <c r="F77" s="38">
        <f>F75*(1/((1+$C$14)^F50))</f>
        <v>514267.65442905657</v>
      </c>
      <c r="G77" s="38">
        <f>G75*(1/((1+$C$14)^G50))</f>
        <v>474780.99465380644</v>
      </c>
      <c r="H77" s="42"/>
      <c r="I77" s="2"/>
      <c r="J77" s="2"/>
      <c r="K77" s="2"/>
      <c r="L77" s="2"/>
      <c r="M77" s="2"/>
      <c r="N77" s="2"/>
      <c r="O77" s="2"/>
      <c r="P77" s="3"/>
    </row>
    <row r="78" spans="2:16">
      <c r="B78" s="1"/>
      <c r="C78" s="2"/>
      <c r="D78" s="2"/>
      <c r="E78" s="2"/>
      <c r="F78" s="2"/>
      <c r="G78" s="2"/>
      <c r="H78" s="3"/>
      <c r="I78" s="2"/>
      <c r="J78" s="2"/>
      <c r="K78" s="2"/>
      <c r="L78" s="2"/>
      <c r="M78" s="2"/>
      <c r="N78" s="2"/>
      <c r="O78" s="2"/>
      <c r="P78" s="3"/>
    </row>
    <row r="79" spans="2:16">
      <c r="B79" s="1"/>
      <c r="C79" s="36"/>
      <c r="D79" s="36"/>
      <c r="E79" s="36"/>
      <c r="F79" s="2"/>
      <c r="G79" s="2"/>
      <c r="H79" s="37"/>
      <c r="I79" s="2"/>
      <c r="J79" s="2"/>
      <c r="K79" s="2"/>
      <c r="L79" s="2"/>
      <c r="M79" s="2"/>
      <c r="N79" s="2"/>
      <c r="O79" s="2"/>
      <c r="P79" s="3"/>
    </row>
    <row r="80" spans="2:16">
      <c r="B80" s="5" t="s">
        <v>51</v>
      </c>
      <c r="C80" s="38">
        <f>$H$75/$C$15</f>
        <v>9108110.362265015</v>
      </c>
      <c r="D80" s="43"/>
      <c r="E80" s="44"/>
      <c r="F80" s="44" t="s">
        <v>52</v>
      </c>
      <c r="G80" s="38">
        <f>C77+D77+E77+F77+G77</f>
        <v>2796776.1988085196</v>
      </c>
      <c r="H80" s="37"/>
      <c r="I80" s="2"/>
      <c r="J80" s="2"/>
      <c r="K80" s="2"/>
      <c r="L80" s="2"/>
      <c r="M80" s="2"/>
      <c r="N80" s="2"/>
      <c r="O80" s="2"/>
      <c r="P80" s="3"/>
    </row>
    <row r="81" spans="2:16">
      <c r="B81" s="5" t="s">
        <v>10</v>
      </c>
      <c r="C81" s="38">
        <f>$C$80*$C$16</f>
        <v>455405.51811325079</v>
      </c>
      <c r="D81" s="43"/>
      <c r="E81" s="44"/>
      <c r="F81" s="44" t="s">
        <v>53</v>
      </c>
      <c r="G81" s="45">
        <f>C84</f>
        <v>3047348.3455268941</v>
      </c>
      <c r="H81" s="37"/>
      <c r="I81" s="2"/>
      <c r="J81" s="2"/>
      <c r="K81" s="2"/>
      <c r="L81" s="2"/>
      <c r="M81" s="2"/>
      <c r="N81" s="2"/>
      <c r="O81" s="2"/>
      <c r="P81" s="3"/>
    </row>
    <row r="82" spans="2:16">
      <c r="B82" s="5" t="s">
        <v>54</v>
      </c>
      <c r="C82" s="38">
        <f>C80-C81</f>
        <v>8652704.8441517651</v>
      </c>
      <c r="D82" s="43"/>
      <c r="E82" s="44"/>
      <c r="F82" s="46" t="s">
        <v>55</v>
      </c>
      <c r="G82" s="38">
        <f>G81+G80</f>
        <v>5844124.5443354137</v>
      </c>
      <c r="H82" s="37"/>
      <c r="I82" s="2"/>
      <c r="J82" s="2"/>
      <c r="K82" s="2"/>
      <c r="L82" s="2"/>
      <c r="M82" s="2"/>
      <c r="N82" s="2"/>
      <c r="O82" s="2"/>
      <c r="P82" s="3"/>
    </row>
    <row r="83" spans="2:16">
      <c r="B83" s="5" t="s">
        <v>56</v>
      </c>
      <c r="C83" s="47">
        <f>(1/((1+$C$14)^$C$13))</f>
        <v>0.3521844787744669</v>
      </c>
      <c r="D83" s="43"/>
      <c r="E83" s="44"/>
      <c r="F83" s="44"/>
      <c r="G83" s="48"/>
      <c r="H83" s="37"/>
      <c r="I83" s="2"/>
      <c r="J83" s="2"/>
      <c r="K83" s="2"/>
      <c r="L83" s="2"/>
      <c r="M83" s="2"/>
      <c r="N83" s="2"/>
      <c r="O83" s="2"/>
      <c r="P83" s="3"/>
    </row>
    <row r="84" spans="2:16" ht="15" thickBot="1">
      <c r="B84" s="5" t="s">
        <v>57</v>
      </c>
      <c r="C84" s="38">
        <f>C82*C83</f>
        <v>3047348.3455268941</v>
      </c>
      <c r="D84" s="36"/>
      <c r="E84" s="2"/>
      <c r="F84" s="36"/>
      <c r="G84" s="36"/>
      <c r="H84" s="37"/>
      <c r="I84" s="2"/>
      <c r="J84" s="2"/>
      <c r="K84" s="2"/>
      <c r="L84" s="2"/>
      <c r="M84" s="2"/>
      <c r="N84" s="2"/>
      <c r="O84" s="2"/>
      <c r="P84" s="3"/>
    </row>
    <row r="85" spans="2:16" ht="15" thickBot="1">
      <c r="B85" s="49"/>
      <c r="C85" s="50"/>
      <c r="D85" s="51"/>
      <c r="E85" s="52" t="s">
        <v>58</v>
      </c>
      <c r="F85" s="51"/>
      <c r="G85" s="53">
        <f>(C80/G82)-1</f>
        <v>0.55850723118029943</v>
      </c>
      <c r="H85" s="54"/>
      <c r="I85" s="2"/>
      <c r="J85" s="2"/>
      <c r="K85" s="2"/>
      <c r="L85" s="2"/>
      <c r="M85" s="2"/>
      <c r="N85" s="2"/>
      <c r="O85" s="2"/>
      <c r="P85" s="3"/>
    </row>
    <row r="86" spans="2:16" ht="15" thickBot="1">
      <c r="B86" s="49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4"/>
    </row>
  </sheetData>
  <mergeCells count="4">
    <mergeCell ref="B2:P2"/>
    <mergeCell ref="B49:H49"/>
    <mergeCell ref="B4:C4"/>
    <mergeCell ref="I49:O4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Oakwood Apartment</vt:lpstr>
    </vt:vector>
  </TitlesOfParts>
  <Company>WSOB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</dc:creator>
  <cp:lastModifiedBy>kbah Bah</cp:lastModifiedBy>
  <dcterms:created xsi:type="dcterms:W3CDTF">2013-10-28T00:58:47Z</dcterms:created>
  <dcterms:modified xsi:type="dcterms:W3CDTF">2017-05-01T01:04:20Z</dcterms:modified>
</cp:coreProperties>
</file>