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4700" yWindow="-2560" windowWidth="25780" windowHeight="27600"/>
  </bookViews>
  <sheets>
    <sheet name="Oakwood Apartment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E60" i="1"/>
  <c r="F60" i="1"/>
  <c r="G60" i="1"/>
  <c r="H60" i="1"/>
  <c r="C60" i="1"/>
  <c r="D52" i="1"/>
  <c r="D59" i="1"/>
  <c r="E52" i="1"/>
  <c r="E59" i="1"/>
  <c r="F52" i="1"/>
  <c r="F59" i="1"/>
  <c r="G52" i="1"/>
  <c r="G59" i="1"/>
  <c r="H52" i="1"/>
  <c r="H59" i="1"/>
  <c r="C52" i="1"/>
  <c r="C59" i="1"/>
  <c r="D45" i="1"/>
  <c r="D47" i="1"/>
  <c r="D48" i="1"/>
  <c r="D49" i="1"/>
  <c r="D50" i="1"/>
  <c r="D51" i="1"/>
  <c r="D58" i="1"/>
  <c r="E45" i="1"/>
  <c r="E47" i="1"/>
  <c r="E48" i="1"/>
  <c r="E49" i="1"/>
  <c r="E50" i="1"/>
  <c r="E51" i="1"/>
  <c r="E58" i="1"/>
  <c r="F45" i="1"/>
  <c r="F47" i="1"/>
  <c r="F48" i="1"/>
  <c r="F49" i="1"/>
  <c r="F50" i="1"/>
  <c r="F51" i="1"/>
  <c r="F58" i="1"/>
  <c r="G45" i="1"/>
  <c r="G47" i="1"/>
  <c r="G48" i="1"/>
  <c r="G49" i="1"/>
  <c r="G50" i="1"/>
  <c r="G51" i="1"/>
  <c r="G58" i="1"/>
  <c r="H45" i="1"/>
  <c r="H47" i="1"/>
  <c r="H48" i="1"/>
  <c r="H49" i="1"/>
  <c r="H50" i="1"/>
  <c r="H51" i="1"/>
  <c r="H58" i="1"/>
  <c r="C47" i="1"/>
  <c r="C50" i="1"/>
  <c r="C51" i="1"/>
  <c r="C58" i="1"/>
  <c r="D54" i="1"/>
  <c r="E54" i="1"/>
  <c r="F54" i="1"/>
  <c r="G54" i="1"/>
  <c r="H54" i="1"/>
  <c r="C54" i="1"/>
  <c r="I47" i="1"/>
  <c r="I48" i="1"/>
  <c r="I49" i="1"/>
  <c r="C88" i="1"/>
  <c r="B8" i="2"/>
  <c r="J48" i="1"/>
  <c r="J49" i="1"/>
  <c r="K48" i="1"/>
  <c r="K49" i="1"/>
  <c r="L48" i="1"/>
  <c r="L49" i="1"/>
  <c r="D88" i="1"/>
  <c r="I45" i="1"/>
  <c r="J45" i="1"/>
  <c r="K45" i="1"/>
  <c r="L45" i="1"/>
  <c r="C49" i="1"/>
  <c r="H62" i="1"/>
  <c r="H63" i="1"/>
  <c r="H64" i="1"/>
  <c r="H65" i="1"/>
  <c r="H66" i="1"/>
  <c r="H68" i="1"/>
  <c r="H73" i="1"/>
  <c r="C78" i="1"/>
  <c r="C79" i="1"/>
  <c r="C80" i="1"/>
  <c r="C81" i="1"/>
  <c r="C82" i="1"/>
  <c r="G79" i="1"/>
  <c r="C48" i="1"/>
  <c r="C62" i="1"/>
  <c r="C63" i="1"/>
  <c r="C64" i="1"/>
  <c r="C65" i="1"/>
  <c r="C66" i="1"/>
  <c r="C68" i="1"/>
  <c r="C73" i="1"/>
  <c r="C74" i="1"/>
  <c r="C75" i="1"/>
  <c r="D62" i="1"/>
  <c r="D63" i="1"/>
  <c r="D64" i="1"/>
  <c r="D65" i="1"/>
  <c r="D66" i="1"/>
  <c r="D68" i="1"/>
  <c r="D73" i="1"/>
  <c r="D75" i="1"/>
  <c r="E62" i="1"/>
  <c r="E63" i="1"/>
  <c r="E64" i="1"/>
  <c r="E65" i="1"/>
  <c r="E66" i="1"/>
  <c r="E68" i="1"/>
  <c r="E73" i="1"/>
  <c r="E75" i="1"/>
  <c r="F62" i="1"/>
  <c r="F63" i="1"/>
  <c r="F64" i="1"/>
  <c r="F65" i="1"/>
  <c r="F66" i="1"/>
  <c r="F68" i="1"/>
  <c r="F73" i="1"/>
  <c r="F75" i="1"/>
  <c r="G62" i="1"/>
  <c r="G63" i="1"/>
  <c r="G64" i="1"/>
  <c r="G65" i="1"/>
  <c r="G66" i="1"/>
  <c r="G68" i="1"/>
  <c r="G73" i="1"/>
  <c r="G75" i="1"/>
  <c r="G78" i="1"/>
  <c r="G80" i="1"/>
  <c r="G83" i="1"/>
  <c r="C10" i="1"/>
  <c r="D74" i="1"/>
  <c r="E74" i="1"/>
  <c r="F74" i="1"/>
  <c r="C70" i="1"/>
  <c r="D70" i="1"/>
  <c r="G74" i="1"/>
  <c r="E70" i="1"/>
  <c r="G70" i="1"/>
  <c r="F70" i="1"/>
  <c r="H70" i="1"/>
</calcChain>
</file>

<file path=xl/sharedStrings.xml><?xml version="1.0" encoding="utf-8"?>
<sst xmlns="http://schemas.openxmlformats.org/spreadsheetml/2006/main" count="86" uniqueCount="76">
  <si>
    <t>Building Name</t>
  </si>
  <si>
    <t>Address</t>
  </si>
  <si>
    <t>City</t>
  </si>
  <si>
    <t>Anywhere</t>
  </si>
  <si>
    <t>State</t>
  </si>
  <si>
    <t>USA</t>
  </si>
  <si>
    <t>Total Units</t>
  </si>
  <si>
    <t xml:space="preserve">Unit Size </t>
  </si>
  <si>
    <t>Building Size (SF)</t>
  </si>
  <si>
    <t>Analysis Begin Date</t>
  </si>
  <si>
    <t>Holding Period</t>
  </si>
  <si>
    <t>Discount Rate</t>
  </si>
  <si>
    <t>Terminal Rate</t>
  </si>
  <si>
    <t>Selling Cost</t>
  </si>
  <si>
    <t>Inputs</t>
  </si>
  <si>
    <t>Name</t>
  </si>
  <si>
    <t>Units</t>
  </si>
  <si>
    <t>Monthly Rent</t>
  </si>
  <si>
    <t>Lease Term (Yrs)</t>
  </si>
  <si>
    <t>Market Monthly Rent</t>
  </si>
  <si>
    <t>Market Rent Increase</t>
  </si>
  <si>
    <t>Laundry Income/unit/year</t>
  </si>
  <si>
    <t>Laundry Income increase</t>
  </si>
  <si>
    <t>Market Vacancy Rate</t>
  </si>
  <si>
    <t>Credit Loss Rate</t>
  </si>
  <si>
    <t>$ Amount</t>
  </si>
  <si>
    <t>$ per Unit</t>
  </si>
  <si>
    <t>Change %</t>
  </si>
  <si>
    <t>Insurance</t>
  </si>
  <si>
    <t>Repairs &amp; Maintenance</t>
  </si>
  <si>
    <t>Advertising</t>
  </si>
  <si>
    <t>Management</t>
  </si>
  <si>
    <t>Utilities</t>
  </si>
  <si>
    <t>Miscellaneous Expenses</t>
  </si>
  <si>
    <t>Year</t>
  </si>
  <si>
    <t>Income:</t>
  </si>
  <si>
    <t>Current Rent</t>
  </si>
  <si>
    <t>Market Rent from lease renewals</t>
  </si>
  <si>
    <t>Potential Gross Income (PGI)</t>
  </si>
  <si>
    <t>Effective Gross Income (EGI)</t>
  </si>
  <si>
    <t>Expenses:</t>
  </si>
  <si>
    <t>Total Expenses</t>
  </si>
  <si>
    <t>Net Operating Income (NOI)</t>
  </si>
  <si>
    <t>Expenses % of EGI</t>
  </si>
  <si>
    <t>Net Operating Income</t>
  </si>
  <si>
    <t>PV Factors</t>
  </si>
  <si>
    <t>Present Value</t>
  </si>
  <si>
    <t>Resale</t>
  </si>
  <si>
    <t>Sum PV NOI</t>
  </si>
  <si>
    <t>PV Resale</t>
  </si>
  <si>
    <t>Net Resale</t>
  </si>
  <si>
    <t>Value</t>
  </si>
  <si>
    <t>PV Factor</t>
  </si>
  <si>
    <t>PVResale</t>
  </si>
  <si>
    <t>Implied Change in Value</t>
  </si>
  <si>
    <t>Oakwood Apartment</t>
  </si>
  <si>
    <t>HOME  WORK 07</t>
  </si>
  <si>
    <t>UW Madison</t>
  </si>
  <si>
    <t>Office building</t>
  </si>
  <si>
    <t>LEASE 01</t>
  </si>
  <si>
    <t xml:space="preserve">% of PGI  </t>
  </si>
  <si>
    <t>Recurring capital expensis</t>
  </si>
  <si>
    <t>other</t>
  </si>
  <si>
    <t>Property Taxes</t>
  </si>
  <si>
    <t>Central Business (CBD)</t>
  </si>
  <si>
    <t>Average rent on balance</t>
  </si>
  <si>
    <t>Lease 02</t>
  </si>
  <si>
    <t xml:space="preserve">Lease 01 </t>
  </si>
  <si>
    <t>CURRENT LEASE</t>
  </si>
  <si>
    <t>COMBINED LEASES</t>
  </si>
  <si>
    <t>CF</t>
  </si>
  <si>
    <t>I</t>
  </si>
  <si>
    <t>PV-cash flow method</t>
  </si>
  <si>
    <t>Effective rent</t>
  </si>
  <si>
    <t>Property taxes</t>
  </si>
  <si>
    <t xml:space="preserve">Average monthly potnential Rent/sqft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</si>
</sst>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$&quot;#,##0.00"/>
    <numFmt numFmtId="171" formatCode="&quot;$&quot;#,##0"/>
    <numFmt numFmtId="172" formatCode="_(* #,##0.00000_);_(* \(#,##0.00000\);_(* &quot;-&quot;??_);_(@_)"/>
    <numFmt numFmtId="173" formatCode="#,##0.00000_);\(#,##0.000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u/>
      <sz val="10"/>
      <name val="Arial"/>
      <family val="2"/>
    </font>
    <font>
      <sz val="14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4" xfId="0" applyBorder="1"/>
    <xf numFmtId="0" fontId="3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4" fillId="3" borderId="7" xfId="0" applyFont="1" applyFill="1" applyBorder="1"/>
    <xf numFmtId="0" fontId="5" fillId="3" borderId="5" xfId="0" applyFont="1" applyFill="1" applyBorder="1"/>
    <xf numFmtId="169" fontId="5" fillId="3" borderId="5" xfId="1" applyNumberFormat="1" applyFont="1" applyFill="1" applyBorder="1"/>
    <xf numFmtId="0" fontId="4" fillId="0" borderId="5" xfId="0" applyFont="1" applyBorder="1"/>
    <xf numFmtId="14" fontId="5" fillId="3" borderId="5" xfId="0" applyNumberFormat="1" applyFont="1" applyFill="1" applyBorder="1"/>
    <xf numFmtId="0" fontId="5" fillId="0" borderId="4" xfId="0" applyFont="1" applyBorder="1"/>
    <xf numFmtId="10" fontId="5" fillId="3" borderId="5" xfId="3" applyNumberFormat="1" applyFont="1" applyFill="1" applyBorder="1" applyAlignment="1">
      <alignment horizontal="right"/>
    </xf>
    <xf numFmtId="0" fontId="5" fillId="0" borderId="8" xfId="0" applyFont="1" applyBorder="1"/>
    <xf numFmtId="10" fontId="5" fillId="3" borderId="9" xfId="3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5" fillId="3" borderId="5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" fontId="5" fillId="3" borderId="5" xfId="0" applyNumberFormat="1" applyFont="1" applyFill="1" applyBorder="1" applyAlignment="1">
      <alignment horizontal="right"/>
    </xf>
    <xf numFmtId="169" fontId="4" fillId="0" borderId="0" xfId="1" applyNumberFormat="1" applyFont="1" applyBorder="1"/>
    <xf numFmtId="3" fontId="0" fillId="0" borderId="0" xfId="0" applyNumberFormat="1" applyBorder="1"/>
    <xf numFmtId="166" fontId="5" fillId="3" borderId="5" xfId="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9" fontId="5" fillId="3" borderId="5" xfId="1" applyNumberFormat="1" applyFont="1" applyFill="1" applyBorder="1" applyAlignment="1">
      <alignment horizontal="right"/>
    </xf>
    <xf numFmtId="169" fontId="4" fillId="0" borderId="0" xfId="1" applyNumberFormat="1" applyFont="1" applyBorder="1" applyAlignment="1">
      <alignment horizontal="right"/>
    </xf>
    <xf numFmtId="166" fontId="5" fillId="3" borderId="5" xfId="0" applyNumberFormat="1" applyFont="1" applyFill="1" applyBorder="1"/>
    <xf numFmtId="166" fontId="4" fillId="0" borderId="0" xfId="0" applyNumberFormat="1" applyFont="1" applyBorder="1"/>
    <xf numFmtId="10" fontId="5" fillId="3" borderId="5" xfId="3" applyNumberFormat="1" applyFont="1" applyFill="1" applyBorder="1"/>
    <xf numFmtId="10" fontId="4" fillId="0" borderId="0" xfId="3" applyNumberFormat="1" applyFont="1" applyBorder="1"/>
    <xf numFmtId="0" fontId="7" fillId="0" borderId="4" xfId="0" applyFont="1" applyBorder="1"/>
    <xf numFmtId="170" fontId="4" fillId="0" borderId="0" xfId="0" applyNumberFormat="1" applyFont="1" applyBorder="1"/>
    <xf numFmtId="10" fontId="5" fillId="3" borderId="0" xfId="3" applyNumberFormat="1" applyFont="1" applyFill="1" applyBorder="1"/>
    <xf numFmtId="166" fontId="5" fillId="3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0" fontId="5" fillId="3" borderId="11" xfId="3" applyNumberFormat="1" applyFont="1" applyFill="1" applyBorder="1"/>
    <xf numFmtId="166" fontId="5" fillId="3" borderId="11" xfId="0" applyNumberFormat="1" applyFont="1" applyFill="1" applyBorder="1" applyAlignment="1">
      <alignment horizontal="right"/>
    </xf>
    <xf numFmtId="10" fontId="5" fillId="3" borderId="9" xfId="3" applyNumberFormat="1" applyFont="1" applyFill="1" applyBorder="1"/>
    <xf numFmtId="169" fontId="7" fillId="0" borderId="0" xfId="1" applyNumberFormat="1" applyFont="1" applyBorder="1" applyAlignment="1">
      <alignment horizontal="center"/>
    </xf>
    <xf numFmtId="169" fontId="7" fillId="0" borderId="5" xfId="1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right"/>
    </xf>
    <xf numFmtId="164" fontId="5" fillId="0" borderId="5" xfId="2" applyNumberFormat="1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71" fontId="0" fillId="0" borderId="5" xfId="0" applyNumberFormat="1" applyBorder="1" applyAlignment="1">
      <alignment horizontal="right"/>
    </xf>
    <xf numFmtId="164" fontId="0" fillId="0" borderId="0" xfId="0" applyNumberFormat="1" applyBorder="1"/>
    <xf numFmtId="164" fontId="0" fillId="0" borderId="5" xfId="0" applyNumberFormat="1" applyBorder="1"/>
    <xf numFmtId="10" fontId="5" fillId="0" borderId="0" xfId="3" applyNumberFormat="1" applyFont="1" applyBorder="1" applyAlignment="1">
      <alignment horizontal="right"/>
    </xf>
    <xf numFmtId="10" fontId="5" fillId="0" borderId="5" xfId="3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64" fontId="7" fillId="0" borderId="0" xfId="2" applyNumberFormat="1" applyFont="1" applyBorder="1" applyAlignment="1">
      <alignment horizontal="right"/>
    </xf>
    <xf numFmtId="164" fontId="7" fillId="0" borderId="5" xfId="2" applyNumberFormat="1" applyFont="1" applyBorder="1" applyAlignment="1">
      <alignment horizontal="right"/>
    </xf>
    <xf numFmtId="172" fontId="5" fillId="0" borderId="0" xfId="1" applyNumberFormat="1" applyFont="1" applyBorder="1" applyAlignment="1">
      <alignment horizontal="right"/>
    </xf>
    <xf numFmtId="172" fontId="5" fillId="0" borderId="5" xfId="1" applyNumberFormat="1" applyFont="1" applyBorder="1" applyAlignment="1">
      <alignment horizontal="right"/>
    </xf>
    <xf numFmtId="164" fontId="9" fillId="0" borderId="5" xfId="2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10" fillId="0" borderId="0" xfId="2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73" fontId="5" fillId="0" borderId="0" xfId="1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0" fillId="0" borderId="8" xfId="0" applyBorder="1"/>
    <xf numFmtId="0" fontId="0" fillId="0" borderId="11" xfId="0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left"/>
    </xf>
    <xf numFmtId="10" fontId="6" fillId="6" borderId="10" xfId="3" applyNumberFormat="1" applyFont="1" applyFill="1" applyBorder="1" applyAlignment="1">
      <alignment horizontal="right"/>
    </xf>
    <xf numFmtId="0" fontId="0" fillId="0" borderId="9" xfId="0" applyBorder="1"/>
    <xf numFmtId="0" fontId="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8" fillId="5" borderId="2" xfId="0" applyFont="1" applyFill="1" applyBorder="1" applyAlignment="1"/>
    <xf numFmtId="0" fontId="8" fillId="5" borderId="3" xfId="0" applyFont="1" applyFill="1" applyBorder="1" applyAlignment="1"/>
    <xf numFmtId="170" fontId="0" fillId="0" borderId="0" xfId="0" applyNumberFormat="1" applyBorder="1"/>
    <xf numFmtId="164" fontId="5" fillId="0" borderId="0" xfId="2" applyNumberFormat="1" applyFont="1" applyFill="1" applyBorder="1" applyAlignment="1">
      <alignment horizontal="right"/>
    </xf>
    <xf numFmtId="170" fontId="0" fillId="0" borderId="0" xfId="0" applyNumberFormat="1" applyFill="1" applyBorder="1"/>
    <xf numFmtId="8" fontId="0" fillId="0" borderId="0" xfId="0" applyNumberFormat="1"/>
  </cellXfs>
  <cellStyles count="8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0"/>
  <sheetViews>
    <sheetView tabSelected="1" topLeftCell="A18" workbookViewId="0">
      <selection activeCell="B55" sqref="B55"/>
    </sheetView>
  </sheetViews>
  <sheetFormatPr baseColWidth="10" defaultColWidth="8.83203125" defaultRowHeight="14" x14ac:dyDescent="0"/>
  <cols>
    <col min="2" max="2" width="28.6640625" bestFit="1" customWidth="1"/>
    <col min="3" max="3" width="15.1640625" bestFit="1" customWidth="1"/>
    <col min="4" max="4" width="13.5" customWidth="1"/>
    <col min="5" max="5" width="12.83203125" customWidth="1"/>
    <col min="6" max="7" width="11.6640625" bestFit="1" customWidth="1"/>
    <col min="8" max="8" width="12.33203125" customWidth="1"/>
    <col min="10" max="11" width="10.5" bestFit="1" customWidth="1"/>
    <col min="12" max="12" width="11.83203125" customWidth="1"/>
    <col min="13" max="13" width="15.33203125" customWidth="1"/>
    <col min="14" max="14" width="38.33203125" customWidth="1"/>
    <col min="262" max="262" width="28.6640625" bestFit="1" customWidth="1"/>
    <col min="263" max="263" width="15.1640625" bestFit="1" customWidth="1"/>
    <col min="264" max="264" width="10.6640625" bestFit="1" customWidth="1"/>
    <col min="265" max="265" width="12.83203125" customWidth="1"/>
    <col min="266" max="267" width="11.6640625" bestFit="1" customWidth="1"/>
    <col min="268" max="268" width="10.6640625" bestFit="1" customWidth="1"/>
    <col min="518" max="518" width="28.6640625" bestFit="1" customWidth="1"/>
    <col min="519" max="519" width="15.1640625" bestFit="1" customWidth="1"/>
    <col min="520" max="520" width="10.6640625" bestFit="1" customWidth="1"/>
    <col min="521" max="521" width="12.83203125" customWidth="1"/>
    <col min="522" max="523" width="11.6640625" bestFit="1" customWidth="1"/>
    <col min="524" max="524" width="10.6640625" bestFit="1" customWidth="1"/>
    <col min="774" max="774" width="28.6640625" bestFit="1" customWidth="1"/>
    <col min="775" max="775" width="15.1640625" bestFit="1" customWidth="1"/>
    <col min="776" max="776" width="10.6640625" bestFit="1" customWidth="1"/>
    <col min="777" max="777" width="12.83203125" customWidth="1"/>
    <col min="778" max="779" width="11.6640625" bestFit="1" customWidth="1"/>
    <col min="780" max="780" width="10.6640625" bestFit="1" customWidth="1"/>
    <col min="1030" max="1030" width="28.6640625" bestFit="1" customWidth="1"/>
    <col min="1031" max="1031" width="15.1640625" bestFit="1" customWidth="1"/>
    <col min="1032" max="1032" width="10.6640625" bestFit="1" customWidth="1"/>
    <col min="1033" max="1033" width="12.83203125" customWidth="1"/>
    <col min="1034" max="1035" width="11.6640625" bestFit="1" customWidth="1"/>
    <col min="1036" max="1036" width="10.6640625" bestFit="1" customWidth="1"/>
    <col min="1286" max="1286" width="28.6640625" bestFit="1" customWidth="1"/>
    <col min="1287" max="1287" width="15.1640625" bestFit="1" customWidth="1"/>
    <col min="1288" max="1288" width="10.6640625" bestFit="1" customWidth="1"/>
    <col min="1289" max="1289" width="12.83203125" customWidth="1"/>
    <col min="1290" max="1291" width="11.6640625" bestFit="1" customWidth="1"/>
    <col min="1292" max="1292" width="10.6640625" bestFit="1" customWidth="1"/>
    <col min="1542" max="1542" width="28.6640625" bestFit="1" customWidth="1"/>
    <col min="1543" max="1543" width="15.1640625" bestFit="1" customWidth="1"/>
    <col min="1544" max="1544" width="10.6640625" bestFit="1" customWidth="1"/>
    <col min="1545" max="1545" width="12.83203125" customWidth="1"/>
    <col min="1546" max="1547" width="11.6640625" bestFit="1" customWidth="1"/>
    <col min="1548" max="1548" width="10.6640625" bestFit="1" customWidth="1"/>
    <col min="1798" max="1798" width="28.6640625" bestFit="1" customWidth="1"/>
    <col min="1799" max="1799" width="15.1640625" bestFit="1" customWidth="1"/>
    <col min="1800" max="1800" width="10.6640625" bestFit="1" customWidth="1"/>
    <col min="1801" max="1801" width="12.83203125" customWidth="1"/>
    <col min="1802" max="1803" width="11.6640625" bestFit="1" customWidth="1"/>
    <col min="1804" max="1804" width="10.6640625" bestFit="1" customWidth="1"/>
    <col min="2054" max="2054" width="28.6640625" bestFit="1" customWidth="1"/>
    <col min="2055" max="2055" width="15.1640625" bestFit="1" customWidth="1"/>
    <col min="2056" max="2056" width="10.6640625" bestFit="1" customWidth="1"/>
    <col min="2057" max="2057" width="12.83203125" customWidth="1"/>
    <col min="2058" max="2059" width="11.6640625" bestFit="1" customWidth="1"/>
    <col min="2060" max="2060" width="10.6640625" bestFit="1" customWidth="1"/>
    <col min="2310" max="2310" width="28.6640625" bestFit="1" customWidth="1"/>
    <col min="2311" max="2311" width="15.1640625" bestFit="1" customWidth="1"/>
    <col min="2312" max="2312" width="10.6640625" bestFit="1" customWidth="1"/>
    <col min="2313" max="2313" width="12.83203125" customWidth="1"/>
    <col min="2314" max="2315" width="11.6640625" bestFit="1" customWidth="1"/>
    <col min="2316" max="2316" width="10.6640625" bestFit="1" customWidth="1"/>
    <col min="2566" max="2566" width="28.6640625" bestFit="1" customWidth="1"/>
    <col min="2567" max="2567" width="15.1640625" bestFit="1" customWidth="1"/>
    <col min="2568" max="2568" width="10.6640625" bestFit="1" customWidth="1"/>
    <col min="2569" max="2569" width="12.83203125" customWidth="1"/>
    <col min="2570" max="2571" width="11.6640625" bestFit="1" customWidth="1"/>
    <col min="2572" max="2572" width="10.6640625" bestFit="1" customWidth="1"/>
    <col min="2822" max="2822" width="28.6640625" bestFit="1" customWidth="1"/>
    <col min="2823" max="2823" width="15.1640625" bestFit="1" customWidth="1"/>
    <col min="2824" max="2824" width="10.6640625" bestFit="1" customWidth="1"/>
    <col min="2825" max="2825" width="12.83203125" customWidth="1"/>
    <col min="2826" max="2827" width="11.6640625" bestFit="1" customWidth="1"/>
    <col min="2828" max="2828" width="10.6640625" bestFit="1" customWidth="1"/>
    <col min="3078" max="3078" width="28.6640625" bestFit="1" customWidth="1"/>
    <col min="3079" max="3079" width="15.1640625" bestFit="1" customWidth="1"/>
    <col min="3080" max="3080" width="10.6640625" bestFit="1" customWidth="1"/>
    <col min="3081" max="3081" width="12.83203125" customWidth="1"/>
    <col min="3082" max="3083" width="11.6640625" bestFit="1" customWidth="1"/>
    <col min="3084" max="3084" width="10.6640625" bestFit="1" customWidth="1"/>
    <col min="3334" max="3334" width="28.6640625" bestFit="1" customWidth="1"/>
    <col min="3335" max="3335" width="15.1640625" bestFit="1" customWidth="1"/>
    <col min="3336" max="3336" width="10.6640625" bestFit="1" customWidth="1"/>
    <col min="3337" max="3337" width="12.83203125" customWidth="1"/>
    <col min="3338" max="3339" width="11.6640625" bestFit="1" customWidth="1"/>
    <col min="3340" max="3340" width="10.6640625" bestFit="1" customWidth="1"/>
    <col min="3590" max="3590" width="28.6640625" bestFit="1" customWidth="1"/>
    <col min="3591" max="3591" width="15.1640625" bestFit="1" customWidth="1"/>
    <col min="3592" max="3592" width="10.6640625" bestFit="1" customWidth="1"/>
    <col min="3593" max="3593" width="12.83203125" customWidth="1"/>
    <col min="3594" max="3595" width="11.6640625" bestFit="1" customWidth="1"/>
    <col min="3596" max="3596" width="10.6640625" bestFit="1" customWidth="1"/>
    <col min="3846" max="3846" width="28.6640625" bestFit="1" customWidth="1"/>
    <col min="3847" max="3847" width="15.1640625" bestFit="1" customWidth="1"/>
    <col min="3848" max="3848" width="10.6640625" bestFit="1" customWidth="1"/>
    <col min="3849" max="3849" width="12.83203125" customWidth="1"/>
    <col min="3850" max="3851" width="11.6640625" bestFit="1" customWidth="1"/>
    <col min="3852" max="3852" width="10.6640625" bestFit="1" customWidth="1"/>
    <col min="4102" max="4102" width="28.6640625" bestFit="1" customWidth="1"/>
    <col min="4103" max="4103" width="15.1640625" bestFit="1" customWidth="1"/>
    <col min="4104" max="4104" width="10.6640625" bestFit="1" customWidth="1"/>
    <col min="4105" max="4105" width="12.83203125" customWidth="1"/>
    <col min="4106" max="4107" width="11.6640625" bestFit="1" customWidth="1"/>
    <col min="4108" max="4108" width="10.6640625" bestFit="1" customWidth="1"/>
    <col min="4358" max="4358" width="28.6640625" bestFit="1" customWidth="1"/>
    <col min="4359" max="4359" width="15.1640625" bestFit="1" customWidth="1"/>
    <col min="4360" max="4360" width="10.6640625" bestFit="1" customWidth="1"/>
    <col min="4361" max="4361" width="12.83203125" customWidth="1"/>
    <col min="4362" max="4363" width="11.6640625" bestFit="1" customWidth="1"/>
    <col min="4364" max="4364" width="10.6640625" bestFit="1" customWidth="1"/>
    <col min="4614" max="4614" width="28.6640625" bestFit="1" customWidth="1"/>
    <col min="4615" max="4615" width="15.1640625" bestFit="1" customWidth="1"/>
    <col min="4616" max="4616" width="10.6640625" bestFit="1" customWidth="1"/>
    <col min="4617" max="4617" width="12.83203125" customWidth="1"/>
    <col min="4618" max="4619" width="11.6640625" bestFit="1" customWidth="1"/>
    <col min="4620" max="4620" width="10.6640625" bestFit="1" customWidth="1"/>
    <col min="4870" max="4870" width="28.6640625" bestFit="1" customWidth="1"/>
    <col min="4871" max="4871" width="15.1640625" bestFit="1" customWidth="1"/>
    <col min="4872" max="4872" width="10.6640625" bestFit="1" customWidth="1"/>
    <col min="4873" max="4873" width="12.83203125" customWidth="1"/>
    <col min="4874" max="4875" width="11.6640625" bestFit="1" customWidth="1"/>
    <col min="4876" max="4876" width="10.6640625" bestFit="1" customWidth="1"/>
    <col min="5126" max="5126" width="28.6640625" bestFit="1" customWidth="1"/>
    <col min="5127" max="5127" width="15.1640625" bestFit="1" customWidth="1"/>
    <col min="5128" max="5128" width="10.6640625" bestFit="1" customWidth="1"/>
    <col min="5129" max="5129" width="12.83203125" customWidth="1"/>
    <col min="5130" max="5131" width="11.6640625" bestFit="1" customWidth="1"/>
    <col min="5132" max="5132" width="10.6640625" bestFit="1" customWidth="1"/>
    <col min="5382" max="5382" width="28.6640625" bestFit="1" customWidth="1"/>
    <col min="5383" max="5383" width="15.1640625" bestFit="1" customWidth="1"/>
    <col min="5384" max="5384" width="10.6640625" bestFit="1" customWidth="1"/>
    <col min="5385" max="5385" width="12.83203125" customWidth="1"/>
    <col min="5386" max="5387" width="11.6640625" bestFit="1" customWidth="1"/>
    <col min="5388" max="5388" width="10.6640625" bestFit="1" customWidth="1"/>
    <col min="5638" max="5638" width="28.6640625" bestFit="1" customWidth="1"/>
    <col min="5639" max="5639" width="15.1640625" bestFit="1" customWidth="1"/>
    <col min="5640" max="5640" width="10.6640625" bestFit="1" customWidth="1"/>
    <col min="5641" max="5641" width="12.83203125" customWidth="1"/>
    <col min="5642" max="5643" width="11.6640625" bestFit="1" customWidth="1"/>
    <col min="5644" max="5644" width="10.6640625" bestFit="1" customWidth="1"/>
    <col min="5894" max="5894" width="28.6640625" bestFit="1" customWidth="1"/>
    <col min="5895" max="5895" width="15.1640625" bestFit="1" customWidth="1"/>
    <col min="5896" max="5896" width="10.6640625" bestFit="1" customWidth="1"/>
    <col min="5897" max="5897" width="12.83203125" customWidth="1"/>
    <col min="5898" max="5899" width="11.6640625" bestFit="1" customWidth="1"/>
    <col min="5900" max="5900" width="10.6640625" bestFit="1" customWidth="1"/>
    <col min="6150" max="6150" width="28.6640625" bestFit="1" customWidth="1"/>
    <col min="6151" max="6151" width="15.1640625" bestFit="1" customWidth="1"/>
    <col min="6152" max="6152" width="10.6640625" bestFit="1" customWidth="1"/>
    <col min="6153" max="6153" width="12.83203125" customWidth="1"/>
    <col min="6154" max="6155" width="11.6640625" bestFit="1" customWidth="1"/>
    <col min="6156" max="6156" width="10.6640625" bestFit="1" customWidth="1"/>
    <col min="6406" max="6406" width="28.6640625" bestFit="1" customWidth="1"/>
    <col min="6407" max="6407" width="15.1640625" bestFit="1" customWidth="1"/>
    <col min="6408" max="6408" width="10.6640625" bestFit="1" customWidth="1"/>
    <col min="6409" max="6409" width="12.83203125" customWidth="1"/>
    <col min="6410" max="6411" width="11.6640625" bestFit="1" customWidth="1"/>
    <col min="6412" max="6412" width="10.6640625" bestFit="1" customWidth="1"/>
    <col min="6662" max="6662" width="28.6640625" bestFit="1" customWidth="1"/>
    <col min="6663" max="6663" width="15.1640625" bestFit="1" customWidth="1"/>
    <col min="6664" max="6664" width="10.6640625" bestFit="1" customWidth="1"/>
    <col min="6665" max="6665" width="12.83203125" customWidth="1"/>
    <col min="6666" max="6667" width="11.6640625" bestFit="1" customWidth="1"/>
    <col min="6668" max="6668" width="10.6640625" bestFit="1" customWidth="1"/>
    <col min="6918" max="6918" width="28.6640625" bestFit="1" customWidth="1"/>
    <col min="6919" max="6919" width="15.1640625" bestFit="1" customWidth="1"/>
    <col min="6920" max="6920" width="10.6640625" bestFit="1" customWidth="1"/>
    <col min="6921" max="6921" width="12.83203125" customWidth="1"/>
    <col min="6922" max="6923" width="11.6640625" bestFit="1" customWidth="1"/>
    <col min="6924" max="6924" width="10.6640625" bestFit="1" customWidth="1"/>
    <col min="7174" max="7174" width="28.6640625" bestFit="1" customWidth="1"/>
    <col min="7175" max="7175" width="15.1640625" bestFit="1" customWidth="1"/>
    <col min="7176" max="7176" width="10.6640625" bestFit="1" customWidth="1"/>
    <col min="7177" max="7177" width="12.83203125" customWidth="1"/>
    <col min="7178" max="7179" width="11.6640625" bestFit="1" customWidth="1"/>
    <col min="7180" max="7180" width="10.6640625" bestFit="1" customWidth="1"/>
    <col min="7430" max="7430" width="28.6640625" bestFit="1" customWidth="1"/>
    <col min="7431" max="7431" width="15.1640625" bestFit="1" customWidth="1"/>
    <col min="7432" max="7432" width="10.6640625" bestFit="1" customWidth="1"/>
    <col min="7433" max="7433" width="12.83203125" customWidth="1"/>
    <col min="7434" max="7435" width="11.6640625" bestFit="1" customWidth="1"/>
    <col min="7436" max="7436" width="10.6640625" bestFit="1" customWidth="1"/>
    <col min="7686" max="7686" width="28.6640625" bestFit="1" customWidth="1"/>
    <col min="7687" max="7687" width="15.1640625" bestFit="1" customWidth="1"/>
    <col min="7688" max="7688" width="10.6640625" bestFit="1" customWidth="1"/>
    <col min="7689" max="7689" width="12.83203125" customWidth="1"/>
    <col min="7690" max="7691" width="11.6640625" bestFit="1" customWidth="1"/>
    <col min="7692" max="7692" width="10.6640625" bestFit="1" customWidth="1"/>
    <col min="7942" max="7942" width="28.6640625" bestFit="1" customWidth="1"/>
    <col min="7943" max="7943" width="15.1640625" bestFit="1" customWidth="1"/>
    <col min="7944" max="7944" width="10.6640625" bestFit="1" customWidth="1"/>
    <col min="7945" max="7945" width="12.83203125" customWidth="1"/>
    <col min="7946" max="7947" width="11.6640625" bestFit="1" customWidth="1"/>
    <col min="7948" max="7948" width="10.6640625" bestFit="1" customWidth="1"/>
    <col min="8198" max="8198" width="28.6640625" bestFit="1" customWidth="1"/>
    <col min="8199" max="8199" width="15.1640625" bestFit="1" customWidth="1"/>
    <col min="8200" max="8200" width="10.6640625" bestFit="1" customWidth="1"/>
    <col min="8201" max="8201" width="12.83203125" customWidth="1"/>
    <col min="8202" max="8203" width="11.6640625" bestFit="1" customWidth="1"/>
    <col min="8204" max="8204" width="10.6640625" bestFit="1" customWidth="1"/>
    <col min="8454" max="8454" width="28.6640625" bestFit="1" customWidth="1"/>
    <col min="8455" max="8455" width="15.1640625" bestFit="1" customWidth="1"/>
    <col min="8456" max="8456" width="10.6640625" bestFit="1" customWidth="1"/>
    <col min="8457" max="8457" width="12.83203125" customWidth="1"/>
    <col min="8458" max="8459" width="11.6640625" bestFit="1" customWidth="1"/>
    <col min="8460" max="8460" width="10.6640625" bestFit="1" customWidth="1"/>
    <col min="8710" max="8710" width="28.6640625" bestFit="1" customWidth="1"/>
    <col min="8711" max="8711" width="15.1640625" bestFit="1" customWidth="1"/>
    <col min="8712" max="8712" width="10.6640625" bestFit="1" customWidth="1"/>
    <col min="8713" max="8713" width="12.83203125" customWidth="1"/>
    <col min="8714" max="8715" width="11.6640625" bestFit="1" customWidth="1"/>
    <col min="8716" max="8716" width="10.6640625" bestFit="1" customWidth="1"/>
    <col min="8966" max="8966" width="28.6640625" bestFit="1" customWidth="1"/>
    <col min="8967" max="8967" width="15.1640625" bestFit="1" customWidth="1"/>
    <col min="8968" max="8968" width="10.6640625" bestFit="1" customWidth="1"/>
    <col min="8969" max="8969" width="12.83203125" customWidth="1"/>
    <col min="8970" max="8971" width="11.6640625" bestFit="1" customWidth="1"/>
    <col min="8972" max="8972" width="10.6640625" bestFit="1" customWidth="1"/>
    <col min="9222" max="9222" width="28.6640625" bestFit="1" customWidth="1"/>
    <col min="9223" max="9223" width="15.1640625" bestFit="1" customWidth="1"/>
    <col min="9224" max="9224" width="10.6640625" bestFit="1" customWidth="1"/>
    <col min="9225" max="9225" width="12.83203125" customWidth="1"/>
    <col min="9226" max="9227" width="11.6640625" bestFit="1" customWidth="1"/>
    <col min="9228" max="9228" width="10.6640625" bestFit="1" customWidth="1"/>
    <col min="9478" max="9478" width="28.6640625" bestFit="1" customWidth="1"/>
    <col min="9479" max="9479" width="15.1640625" bestFit="1" customWidth="1"/>
    <col min="9480" max="9480" width="10.6640625" bestFit="1" customWidth="1"/>
    <col min="9481" max="9481" width="12.83203125" customWidth="1"/>
    <col min="9482" max="9483" width="11.6640625" bestFit="1" customWidth="1"/>
    <col min="9484" max="9484" width="10.6640625" bestFit="1" customWidth="1"/>
    <col min="9734" max="9734" width="28.6640625" bestFit="1" customWidth="1"/>
    <col min="9735" max="9735" width="15.1640625" bestFit="1" customWidth="1"/>
    <col min="9736" max="9736" width="10.6640625" bestFit="1" customWidth="1"/>
    <col min="9737" max="9737" width="12.83203125" customWidth="1"/>
    <col min="9738" max="9739" width="11.6640625" bestFit="1" customWidth="1"/>
    <col min="9740" max="9740" width="10.6640625" bestFit="1" customWidth="1"/>
    <col min="9990" max="9990" width="28.6640625" bestFit="1" customWidth="1"/>
    <col min="9991" max="9991" width="15.1640625" bestFit="1" customWidth="1"/>
    <col min="9992" max="9992" width="10.6640625" bestFit="1" customWidth="1"/>
    <col min="9993" max="9993" width="12.83203125" customWidth="1"/>
    <col min="9994" max="9995" width="11.6640625" bestFit="1" customWidth="1"/>
    <col min="9996" max="9996" width="10.6640625" bestFit="1" customWidth="1"/>
    <col min="10246" max="10246" width="28.6640625" bestFit="1" customWidth="1"/>
    <col min="10247" max="10247" width="15.1640625" bestFit="1" customWidth="1"/>
    <col min="10248" max="10248" width="10.6640625" bestFit="1" customWidth="1"/>
    <col min="10249" max="10249" width="12.83203125" customWidth="1"/>
    <col min="10250" max="10251" width="11.6640625" bestFit="1" customWidth="1"/>
    <col min="10252" max="10252" width="10.6640625" bestFit="1" customWidth="1"/>
    <col min="10502" max="10502" width="28.6640625" bestFit="1" customWidth="1"/>
    <col min="10503" max="10503" width="15.1640625" bestFit="1" customWidth="1"/>
    <col min="10504" max="10504" width="10.6640625" bestFit="1" customWidth="1"/>
    <col min="10505" max="10505" width="12.83203125" customWidth="1"/>
    <col min="10506" max="10507" width="11.6640625" bestFit="1" customWidth="1"/>
    <col min="10508" max="10508" width="10.6640625" bestFit="1" customWidth="1"/>
    <col min="10758" max="10758" width="28.6640625" bestFit="1" customWidth="1"/>
    <col min="10759" max="10759" width="15.1640625" bestFit="1" customWidth="1"/>
    <col min="10760" max="10760" width="10.6640625" bestFit="1" customWidth="1"/>
    <col min="10761" max="10761" width="12.83203125" customWidth="1"/>
    <col min="10762" max="10763" width="11.6640625" bestFit="1" customWidth="1"/>
    <col min="10764" max="10764" width="10.6640625" bestFit="1" customWidth="1"/>
    <col min="11014" max="11014" width="28.6640625" bestFit="1" customWidth="1"/>
    <col min="11015" max="11015" width="15.1640625" bestFit="1" customWidth="1"/>
    <col min="11016" max="11016" width="10.6640625" bestFit="1" customWidth="1"/>
    <col min="11017" max="11017" width="12.83203125" customWidth="1"/>
    <col min="11018" max="11019" width="11.6640625" bestFit="1" customWidth="1"/>
    <col min="11020" max="11020" width="10.6640625" bestFit="1" customWidth="1"/>
    <col min="11270" max="11270" width="28.6640625" bestFit="1" customWidth="1"/>
    <col min="11271" max="11271" width="15.1640625" bestFit="1" customWidth="1"/>
    <col min="11272" max="11272" width="10.6640625" bestFit="1" customWidth="1"/>
    <col min="11273" max="11273" width="12.83203125" customWidth="1"/>
    <col min="11274" max="11275" width="11.6640625" bestFit="1" customWidth="1"/>
    <col min="11276" max="11276" width="10.6640625" bestFit="1" customWidth="1"/>
    <col min="11526" max="11526" width="28.6640625" bestFit="1" customWidth="1"/>
    <col min="11527" max="11527" width="15.1640625" bestFit="1" customWidth="1"/>
    <col min="11528" max="11528" width="10.6640625" bestFit="1" customWidth="1"/>
    <col min="11529" max="11529" width="12.83203125" customWidth="1"/>
    <col min="11530" max="11531" width="11.6640625" bestFit="1" customWidth="1"/>
    <col min="11532" max="11532" width="10.6640625" bestFit="1" customWidth="1"/>
    <col min="11782" max="11782" width="28.6640625" bestFit="1" customWidth="1"/>
    <col min="11783" max="11783" width="15.1640625" bestFit="1" customWidth="1"/>
    <col min="11784" max="11784" width="10.6640625" bestFit="1" customWidth="1"/>
    <col min="11785" max="11785" width="12.83203125" customWidth="1"/>
    <col min="11786" max="11787" width="11.6640625" bestFit="1" customWidth="1"/>
    <col min="11788" max="11788" width="10.6640625" bestFit="1" customWidth="1"/>
    <col min="12038" max="12038" width="28.6640625" bestFit="1" customWidth="1"/>
    <col min="12039" max="12039" width="15.1640625" bestFit="1" customWidth="1"/>
    <col min="12040" max="12040" width="10.6640625" bestFit="1" customWidth="1"/>
    <col min="12041" max="12041" width="12.83203125" customWidth="1"/>
    <col min="12042" max="12043" width="11.6640625" bestFit="1" customWidth="1"/>
    <col min="12044" max="12044" width="10.6640625" bestFit="1" customWidth="1"/>
    <col min="12294" max="12294" width="28.6640625" bestFit="1" customWidth="1"/>
    <col min="12295" max="12295" width="15.1640625" bestFit="1" customWidth="1"/>
    <col min="12296" max="12296" width="10.6640625" bestFit="1" customWidth="1"/>
    <col min="12297" max="12297" width="12.83203125" customWidth="1"/>
    <col min="12298" max="12299" width="11.6640625" bestFit="1" customWidth="1"/>
    <col min="12300" max="12300" width="10.6640625" bestFit="1" customWidth="1"/>
    <col min="12550" max="12550" width="28.6640625" bestFit="1" customWidth="1"/>
    <col min="12551" max="12551" width="15.1640625" bestFit="1" customWidth="1"/>
    <col min="12552" max="12552" width="10.6640625" bestFit="1" customWidth="1"/>
    <col min="12553" max="12553" width="12.83203125" customWidth="1"/>
    <col min="12554" max="12555" width="11.6640625" bestFit="1" customWidth="1"/>
    <col min="12556" max="12556" width="10.6640625" bestFit="1" customWidth="1"/>
    <col min="12806" max="12806" width="28.6640625" bestFit="1" customWidth="1"/>
    <col min="12807" max="12807" width="15.1640625" bestFit="1" customWidth="1"/>
    <col min="12808" max="12808" width="10.6640625" bestFit="1" customWidth="1"/>
    <col min="12809" max="12809" width="12.83203125" customWidth="1"/>
    <col min="12810" max="12811" width="11.6640625" bestFit="1" customWidth="1"/>
    <col min="12812" max="12812" width="10.6640625" bestFit="1" customWidth="1"/>
    <col min="13062" max="13062" width="28.6640625" bestFit="1" customWidth="1"/>
    <col min="13063" max="13063" width="15.1640625" bestFit="1" customWidth="1"/>
    <col min="13064" max="13064" width="10.6640625" bestFit="1" customWidth="1"/>
    <col min="13065" max="13065" width="12.83203125" customWidth="1"/>
    <col min="13066" max="13067" width="11.6640625" bestFit="1" customWidth="1"/>
    <col min="13068" max="13068" width="10.6640625" bestFit="1" customWidth="1"/>
    <col min="13318" max="13318" width="28.6640625" bestFit="1" customWidth="1"/>
    <col min="13319" max="13319" width="15.1640625" bestFit="1" customWidth="1"/>
    <col min="13320" max="13320" width="10.6640625" bestFit="1" customWidth="1"/>
    <col min="13321" max="13321" width="12.83203125" customWidth="1"/>
    <col min="13322" max="13323" width="11.6640625" bestFit="1" customWidth="1"/>
    <col min="13324" max="13324" width="10.6640625" bestFit="1" customWidth="1"/>
    <col min="13574" max="13574" width="28.6640625" bestFit="1" customWidth="1"/>
    <col min="13575" max="13575" width="15.1640625" bestFit="1" customWidth="1"/>
    <col min="13576" max="13576" width="10.6640625" bestFit="1" customWidth="1"/>
    <col min="13577" max="13577" width="12.83203125" customWidth="1"/>
    <col min="13578" max="13579" width="11.6640625" bestFit="1" customWidth="1"/>
    <col min="13580" max="13580" width="10.6640625" bestFit="1" customWidth="1"/>
    <col min="13830" max="13830" width="28.6640625" bestFit="1" customWidth="1"/>
    <col min="13831" max="13831" width="15.1640625" bestFit="1" customWidth="1"/>
    <col min="13832" max="13832" width="10.6640625" bestFit="1" customWidth="1"/>
    <col min="13833" max="13833" width="12.83203125" customWidth="1"/>
    <col min="13834" max="13835" width="11.6640625" bestFit="1" customWidth="1"/>
    <col min="13836" max="13836" width="10.6640625" bestFit="1" customWidth="1"/>
    <col min="14086" max="14086" width="28.6640625" bestFit="1" customWidth="1"/>
    <col min="14087" max="14087" width="15.1640625" bestFit="1" customWidth="1"/>
    <col min="14088" max="14088" width="10.6640625" bestFit="1" customWidth="1"/>
    <col min="14089" max="14089" width="12.83203125" customWidth="1"/>
    <col min="14090" max="14091" width="11.6640625" bestFit="1" customWidth="1"/>
    <col min="14092" max="14092" width="10.6640625" bestFit="1" customWidth="1"/>
    <col min="14342" max="14342" width="28.6640625" bestFit="1" customWidth="1"/>
    <col min="14343" max="14343" width="15.1640625" bestFit="1" customWidth="1"/>
    <col min="14344" max="14344" width="10.6640625" bestFit="1" customWidth="1"/>
    <col min="14345" max="14345" width="12.83203125" customWidth="1"/>
    <col min="14346" max="14347" width="11.6640625" bestFit="1" customWidth="1"/>
    <col min="14348" max="14348" width="10.6640625" bestFit="1" customWidth="1"/>
    <col min="14598" max="14598" width="28.6640625" bestFit="1" customWidth="1"/>
    <col min="14599" max="14599" width="15.1640625" bestFit="1" customWidth="1"/>
    <col min="14600" max="14600" width="10.6640625" bestFit="1" customWidth="1"/>
    <col min="14601" max="14601" width="12.83203125" customWidth="1"/>
    <col min="14602" max="14603" width="11.6640625" bestFit="1" customWidth="1"/>
    <col min="14604" max="14604" width="10.6640625" bestFit="1" customWidth="1"/>
    <col min="14854" max="14854" width="28.6640625" bestFit="1" customWidth="1"/>
    <col min="14855" max="14855" width="15.1640625" bestFit="1" customWidth="1"/>
    <col min="14856" max="14856" width="10.6640625" bestFit="1" customWidth="1"/>
    <col min="14857" max="14857" width="12.83203125" customWidth="1"/>
    <col min="14858" max="14859" width="11.6640625" bestFit="1" customWidth="1"/>
    <col min="14860" max="14860" width="10.6640625" bestFit="1" customWidth="1"/>
    <col min="15110" max="15110" width="28.6640625" bestFit="1" customWidth="1"/>
    <col min="15111" max="15111" width="15.1640625" bestFit="1" customWidth="1"/>
    <col min="15112" max="15112" width="10.6640625" bestFit="1" customWidth="1"/>
    <col min="15113" max="15113" width="12.83203125" customWidth="1"/>
    <col min="15114" max="15115" width="11.6640625" bestFit="1" customWidth="1"/>
    <col min="15116" max="15116" width="10.6640625" bestFit="1" customWidth="1"/>
    <col min="15366" max="15366" width="28.6640625" bestFit="1" customWidth="1"/>
    <col min="15367" max="15367" width="15.1640625" bestFit="1" customWidth="1"/>
    <col min="15368" max="15368" width="10.6640625" bestFit="1" customWidth="1"/>
    <col min="15369" max="15369" width="12.83203125" customWidth="1"/>
    <col min="15370" max="15371" width="11.6640625" bestFit="1" customWidth="1"/>
    <col min="15372" max="15372" width="10.6640625" bestFit="1" customWidth="1"/>
    <col min="15622" max="15622" width="28.6640625" bestFit="1" customWidth="1"/>
    <col min="15623" max="15623" width="15.1640625" bestFit="1" customWidth="1"/>
    <col min="15624" max="15624" width="10.6640625" bestFit="1" customWidth="1"/>
    <col min="15625" max="15625" width="12.83203125" customWidth="1"/>
    <col min="15626" max="15627" width="11.6640625" bestFit="1" customWidth="1"/>
    <col min="15628" max="15628" width="10.6640625" bestFit="1" customWidth="1"/>
    <col min="15878" max="15878" width="28.6640625" bestFit="1" customWidth="1"/>
    <col min="15879" max="15879" width="15.1640625" bestFit="1" customWidth="1"/>
    <col min="15880" max="15880" width="10.6640625" bestFit="1" customWidth="1"/>
    <col min="15881" max="15881" width="12.83203125" customWidth="1"/>
    <col min="15882" max="15883" width="11.6640625" bestFit="1" customWidth="1"/>
    <col min="15884" max="15884" width="10.6640625" bestFit="1" customWidth="1"/>
    <col min="16134" max="16134" width="28.6640625" bestFit="1" customWidth="1"/>
    <col min="16135" max="16135" width="15.1640625" bestFit="1" customWidth="1"/>
    <col min="16136" max="16136" width="10.6640625" bestFit="1" customWidth="1"/>
    <col min="16137" max="16137" width="12.83203125" customWidth="1"/>
    <col min="16138" max="16139" width="11.6640625" bestFit="1" customWidth="1"/>
    <col min="16140" max="16140" width="10.6640625" bestFit="1" customWidth="1"/>
  </cols>
  <sheetData>
    <row r="1" spans="2:14" ht="15" thickBot="1"/>
    <row r="2" spans="2:14" ht="18" thickBot="1">
      <c r="B2" s="69" t="s">
        <v>55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2:14" ht="16" thickBot="1">
      <c r="B3" s="1" t="s">
        <v>59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>
      <c r="B4" s="5" t="s">
        <v>0</v>
      </c>
      <c r="C4" s="6" t="s">
        <v>56</v>
      </c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2:14">
      <c r="B5" s="1" t="s">
        <v>1</v>
      </c>
      <c r="C5" s="7" t="s">
        <v>57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2:14">
      <c r="B6" s="1" t="s">
        <v>2</v>
      </c>
      <c r="C6" s="7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2:14">
      <c r="B7" s="1" t="s">
        <v>4</v>
      </c>
      <c r="C7" s="7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4"/>
    </row>
    <row r="8" spans="2:14">
      <c r="B8" s="1" t="s">
        <v>6</v>
      </c>
      <c r="C8" s="7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4"/>
    </row>
    <row r="9" spans="2:14">
      <c r="B9" s="1" t="s">
        <v>7</v>
      </c>
      <c r="C9" s="8">
        <v>2000</v>
      </c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2:14">
      <c r="B10" s="1" t="s">
        <v>8</v>
      </c>
      <c r="C10" s="8">
        <f>C8*C9</f>
        <v>2000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2:14">
      <c r="B11" s="1"/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</row>
    <row r="12" spans="2:14">
      <c r="B12" s="1" t="s">
        <v>9</v>
      </c>
      <c r="C12" s="10">
        <v>36526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</row>
    <row r="13" spans="2:14">
      <c r="B13" s="1" t="s">
        <v>10</v>
      </c>
      <c r="C13" s="7">
        <v>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2:14">
      <c r="B14" s="11" t="s">
        <v>11</v>
      </c>
      <c r="C14" s="12">
        <v>0.08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2:14">
      <c r="B15" s="11" t="s">
        <v>12</v>
      </c>
      <c r="C15" s="12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spans="2:14" ht="15" thickBot="1">
      <c r="B16" s="13" t="s">
        <v>13</v>
      </c>
      <c r="C16" s="14"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2:14" ht="15" thickBot="1"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</row>
    <row r="18" spans="2:14" ht="15" thickBot="1">
      <c r="B18" s="15" t="s">
        <v>14</v>
      </c>
      <c r="C18" s="15" t="s">
        <v>58</v>
      </c>
      <c r="D18" s="3"/>
      <c r="E18" s="16"/>
      <c r="F18" s="17"/>
      <c r="G18" s="16"/>
      <c r="H18" s="3"/>
      <c r="I18" s="3"/>
      <c r="J18" s="3"/>
      <c r="K18" s="3"/>
      <c r="L18" s="3"/>
      <c r="M18" s="3"/>
      <c r="N18" s="4"/>
    </row>
    <row r="19" spans="2:14">
      <c r="B19" s="1" t="s">
        <v>15</v>
      </c>
      <c r="C19" s="18" t="s">
        <v>64</v>
      </c>
      <c r="D19" s="19"/>
      <c r="E19" s="20"/>
      <c r="F19" s="19"/>
      <c r="G19" s="20"/>
      <c r="H19" s="17"/>
      <c r="I19" s="3"/>
      <c r="J19" s="3"/>
      <c r="K19" s="3"/>
      <c r="L19" s="3"/>
      <c r="M19" s="3"/>
      <c r="N19" s="4"/>
    </row>
    <row r="20" spans="2:14">
      <c r="B20" s="11" t="s">
        <v>16</v>
      </c>
      <c r="C20" s="21">
        <v>1</v>
      </c>
      <c r="D20" s="17"/>
      <c r="E20" s="22"/>
      <c r="F20" s="3"/>
      <c r="G20" s="22"/>
      <c r="H20" s="23"/>
      <c r="I20" s="3"/>
      <c r="J20" s="3"/>
      <c r="K20" s="3"/>
      <c r="L20" s="3"/>
      <c r="M20" s="3"/>
      <c r="N20" s="4"/>
    </row>
    <row r="21" spans="2:14">
      <c r="B21" s="11" t="s">
        <v>17</v>
      </c>
      <c r="C21" s="24">
        <v>580000</v>
      </c>
      <c r="D21" s="17"/>
      <c r="E21" s="25"/>
      <c r="F21" s="3"/>
      <c r="G21" s="25"/>
      <c r="H21" s="3"/>
      <c r="I21" s="3"/>
      <c r="J21" s="3"/>
      <c r="K21" s="3"/>
      <c r="L21" s="3"/>
      <c r="M21" s="3"/>
      <c r="N21" s="4"/>
    </row>
    <row r="22" spans="2:14">
      <c r="B22" s="11" t="s">
        <v>18</v>
      </c>
      <c r="C22" s="26">
        <v>1</v>
      </c>
      <c r="D22" s="17"/>
      <c r="E22" s="27"/>
      <c r="F22" s="3"/>
      <c r="G22" s="27"/>
      <c r="H22" s="3"/>
      <c r="I22" s="3"/>
      <c r="J22" s="3"/>
      <c r="K22" s="3"/>
      <c r="L22" s="3"/>
      <c r="M22" s="3"/>
      <c r="N22" s="4"/>
    </row>
    <row r="23" spans="2:14">
      <c r="B23" s="11" t="s">
        <v>19</v>
      </c>
      <c r="C23" s="28">
        <v>58000</v>
      </c>
      <c r="D23" s="3"/>
      <c r="E23" s="29"/>
      <c r="F23" s="3"/>
      <c r="G23" s="29"/>
      <c r="H23" s="3"/>
      <c r="I23" s="3"/>
      <c r="J23" s="3"/>
      <c r="K23" s="3"/>
      <c r="L23" s="3"/>
      <c r="M23" s="3"/>
      <c r="N23" s="4"/>
    </row>
    <row r="24" spans="2:14">
      <c r="B24" s="11" t="s">
        <v>20</v>
      </c>
      <c r="C24" s="30">
        <v>0.03</v>
      </c>
      <c r="D24" s="3"/>
      <c r="E24" s="31"/>
      <c r="F24" s="3"/>
      <c r="G24" s="31"/>
      <c r="H24" s="3"/>
      <c r="I24" s="3"/>
      <c r="J24" s="3"/>
      <c r="K24" s="3"/>
      <c r="L24" s="3"/>
      <c r="M24" s="3"/>
      <c r="N24" s="4"/>
    </row>
    <row r="25" spans="2:14">
      <c r="B25" s="32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</row>
    <row r="26" spans="2:14">
      <c r="B26" s="11" t="s">
        <v>21</v>
      </c>
      <c r="C26" s="24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2:14">
      <c r="B27" s="11" t="s">
        <v>22</v>
      </c>
      <c r="C27" s="30"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2:14">
      <c r="B28" s="1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2:14">
      <c r="B29" s="11" t="s">
        <v>23</v>
      </c>
      <c r="C29" s="30">
        <v>0.05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</row>
    <row r="30" spans="2:14" ht="15" thickBot="1">
      <c r="B30" s="13" t="s">
        <v>24</v>
      </c>
      <c r="C30" s="39">
        <v>0</v>
      </c>
      <c r="D30" s="33"/>
      <c r="E30" s="19"/>
      <c r="F30" s="33"/>
      <c r="G30" s="19"/>
      <c r="H30" s="33"/>
      <c r="I30" s="3"/>
      <c r="J30" s="3"/>
      <c r="K30" s="3"/>
      <c r="L30" s="3"/>
      <c r="M30" s="3"/>
      <c r="N30" s="4"/>
    </row>
    <row r="31" spans="2:14" ht="15" thickBot="1">
      <c r="B31" s="11"/>
      <c r="C31" s="19"/>
      <c r="D31" s="33"/>
      <c r="E31" s="19"/>
      <c r="F31" s="33"/>
      <c r="G31" s="19"/>
      <c r="H31" s="33"/>
      <c r="I31" s="3"/>
      <c r="J31" s="3"/>
      <c r="K31" s="3"/>
      <c r="L31" s="3"/>
      <c r="M31" s="3"/>
      <c r="N31" s="4"/>
    </row>
    <row r="32" spans="2:14" ht="15" thickBot="1">
      <c r="B32" s="5"/>
      <c r="C32" s="15" t="s">
        <v>60</v>
      </c>
      <c r="D32" s="15" t="s">
        <v>25</v>
      </c>
      <c r="E32" s="15" t="s">
        <v>26</v>
      </c>
      <c r="F32" s="15" t="s">
        <v>27</v>
      </c>
      <c r="G32" s="3"/>
      <c r="H32" s="3"/>
      <c r="I32" s="3"/>
      <c r="J32" s="3"/>
      <c r="K32" s="3"/>
      <c r="L32" s="3"/>
      <c r="M32" s="3"/>
      <c r="N32" s="4"/>
    </row>
    <row r="33" spans="2:15">
      <c r="B33" s="11" t="s">
        <v>63</v>
      </c>
      <c r="C33" s="34">
        <v>0</v>
      </c>
      <c r="D33" s="35">
        <v>30000</v>
      </c>
      <c r="E33" s="35">
        <v>0</v>
      </c>
      <c r="F33" s="30">
        <v>2.5000000000000001E-2</v>
      </c>
      <c r="G33" s="3"/>
      <c r="H33" s="3"/>
      <c r="I33" s="3"/>
      <c r="J33" s="3"/>
      <c r="K33" s="3"/>
      <c r="L33" s="3"/>
      <c r="M33" s="3"/>
      <c r="N33" s="4"/>
    </row>
    <row r="34" spans="2:15">
      <c r="B34" s="11" t="s">
        <v>32</v>
      </c>
      <c r="C34" s="34">
        <v>0.1</v>
      </c>
      <c r="D34" s="35">
        <v>0</v>
      </c>
      <c r="E34" s="35">
        <v>0</v>
      </c>
      <c r="F34" s="30">
        <v>0</v>
      </c>
      <c r="G34" s="36"/>
      <c r="H34" s="17"/>
      <c r="I34" s="3"/>
      <c r="J34" s="3"/>
      <c r="K34" s="3"/>
      <c r="L34" s="3"/>
      <c r="M34" s="3"/>
      <c r="N34" s="4"/>
    </row>
    <row r="35" spans="2:15">
      <c r="B35" s="11" t="s">
        <v>28</v>
      </c>
      <c r="C35" s="34">
        <v>0</v>
      </c>
      <c r="D35" s="35">
        <v>24000</v>
      </c>
      <c r="E35" s="35">
        <v>0</v>
      </c>
      <c r="F35" s="30">
        <v>0</v>
      </c>
      <c r="G35" s="36"/>
      <c r="H35" s="17"/>
      <c r="I35" s="3"/>
      <c r="J35" s="3"/>
      <c r="K35" s="3"/>
      <c r="L35" s="3"/>
      <c r="M35" s="3"/>
      <c r="N35" s="4"/>
    </row>
    <row r="36" spans="2:15">
      <c r="B36" s="11" t="s">
        <v>61</v>
      </c>
      <c r="C36" s="34">
        <v>0</v>
      </c>
      <c r="D36" s="35">
        <v>60000</v>
      </c>
      <c r="E36" s="35">
        <v>0</v>
      </c>
      <c r="F36" s="30">
        <v>0.03</v>
      </c>
      <c r="G36" s="3"/>
      <c r="H36" s="3"/>
      <c r="I36" s="3"/>
      <c r="J36" s="3"/>
      <c r="K36" s="3"/>
      <c r="L36" s="3"/>
      <c r="M36" s="3"/>
      <c r="N36" s="4"/>
    </row>
    <row r="37" spans="2:15">
      <c r="B37" s="11" t="s">
        <v>30</v>
      </c>
      <c r="C37" s="34">
        <v>0</v>
      </c>
      <c r="D37" s="35">
        <v>0</v>
      </c>
      <c r="E37" s="35">
        <v>0</v>
      </c>
      <c r="F37" s="30">
        <v>0</v>
      </c>
      <c r="G37" s="3"/>
      <c r="H37" s="3"/>
      <c r="I37" s="3"/>
      <c r="J37" s="3"/>
      <c r="K37" s="3"/>
      <c r="L37" s="3"/>
      <c r="M37" s="3"/>
      <c r="N37" s="4"/>
    </row>
    <row r="38" spans="2:15">
      <c r="B38" s="11" t="s">
        <v>31</v>
      </c>
      <c r="C38" s="34">
        <v>0</v>
      </c>
      <c r="D38" s="35">
        <v>0</v>
      </c>
      <c r="E38" s="35">
        <v>0</v>
      </c>
      <c r="F38" s="30">
        <v>0</v>
      </c>
      <c r="G38" s="3"/>
      <c r="H38" s="3"/>
      <c r="I38" s="3"/>
      <c r="J38" s="3"/>
      <c r="K38" s="3"/>
      <c r="L38" s="3"/>
      <c r="M38" s="3"/>
      <c r="N38" s="4"/>
    </row>
    <row r="39" spans="2:15">
      <c r="B39" s="11" t="s">
        <v>62</v>
      </c>
      <c r="C39" s="34">
        <v>0</v>
      </c>
      <c r="D39" s="35">
        <v>0</v>
      </c>
      <c r="E39" s="35">
        <v>0</v>
      </c>
      <c r="F39" s="30">
        <v>0</v>
      </c>
      <c r="G39" s="17"/>
      <c r="H39" s="17"/>
      <c r="I39" s="3"/>
      <c r="J39" s="3"/>
      <c r="K39" s="3"/>
      <c r="L39" s="3"/>
      <c r="M39" s="3"/>
      <c r="N39" s="4"/>
    </row>
    <row r="40" spans="2:15" ht="15" thickBot="1">
      <c r="B40" s="13" t="s">
        <v>33</v>
      </c>
      <c r="C40" s="37">
        <v>0</v>
      </c>
      <c r="D40" s="38">
        <v>0</v>
      </c>
      <c r="E40" s="38">
        <v>0</v>
      </c>
      <c r="F40" s="39">
        <v>0</v>
      </c>
      <c r="G40" s="3"/>
      <c r="H40" s="3"/>
      <c r="I40" s="3"/>
      <c r="J40" s="3"/>
      <c r="K40" s="3"/>
      <c r="L40" s="3"/>
      <c r="M40" s="3"/>
      <c r="N40" s="4"/>
    </row>
    <row r="41" spans="2:15"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2:15"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</row>
    <row r="43" spans="2:15" ht="15" thickBot="1"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</row>
    <row r="44" spans="2:15" ht="15" thickBot="1">
      <c r="B44" s="72" t="s">
        <v>67</v>
      </c>
      <c r="C44" s="73"/>
      <c r="D44" s="73"/>
      <c r="E44" s="73"/>
      <c r="F44" s="73"/>
      <c r="G44" s="73"/>
      <c r="H44" s="74"/>
      <c r="I44" s="72" t="s">
        <v>66</v>
      </c>
      <c r="J44" s="73"/>
      <c r="K44" s="73"/>
      <c r="L44" s="73"/>
      <c r="M44" s="73"/>
      <c r="N44" s="73"/>
      <c r="O44" s="74"/>
    </row>
    <row r="45" spans="2:15" ht="15" thickBot="1">
      <c r="B45" s="15" t="s">
        <v>34</v>
      </c>
      <c r="C45" s="15">
        <v>1</v>
      </c>
      <c r="D45" s="15">
        <f>C$45+1</f>
        <v>2</v>
      </c>
      <c r="E45" s="15">
        <f>D$45+1</f>
        <v>3</v>
      </c>
      <c r="F45" s="15">
        <f>E$45+1</f>
        <v>4</v>
      </c>
      <c r="G45" s="15">
        <f>F$45+1</f>
        <v>5</v>
      </c>
      <c r="H45" s="15">
        <f>G$45+1</f>
        <v>6</v>
      </c>
      <c r="I45" s="15">
        <f t="shared" ref="I45:K45" si="0">H$45+1</f>
        <v>7</v>
      </c>
      <c r="J45" s="15">
        <f t="shared" si="0"/>
        <v>8</v>
      </c>
      <c r="K45" s="15">
        <f t="shared" si="0"/>
        <v>9</v>
      </c>
      <c r="L45" s="15">
        <f>K$45+1</f>
        <v>10</v>
      </c>
      <c r="M45" s="3"/>
      <c r="N45" s="4"/>
    </row>
    <row r="46" spans="2:15">
      <c r="B46" s="32" t="s">
        <v>35</v>
      </c>
      <c r="C46" s="40"/>
      <c r="D46" s="40"/>
      <c r="E46" s="40"/>
      <c r="F46" s="40"/>
      <c r="G46" s="40"/>
      <c r="H46" s="41"/>
      <c r="I46" s="3"/>
      <c r="J46" s="3"/>
      <c r="K46" s="3"/>
      <c r="L46" s="3"/>
      <c r="M46" s="3"/>
      <c r="N46" s="4"/>
    </row>
    <row r="47" spans="2:15">
      <c r="B47" s="11" t="s">
        <v>36</v>
      </c>
      <c r="C47" s="42">
        <f>12*29*C9</f>
        <v>696000</v>
      </c>
      <c r="D47" s="42">
        <f>IF($C$22&gt;=D$45,($C$21*12)*$C$20,0)</f>
        <v>0</v>
      </c>
      <c r="E47" s="42">
        <f t="shared" ref="E47:H47" si="1">IF($C$22&gt;=E$45,($C$21*12)*$C$20,0)</f>
        <v>0</v>
      </c>
      <c r="F47" s="42">
        <f t="shared" si="1"/>
        <v>0</v>
      </c>
      <c r="G47" s="42">
        <f t="shared" si="1"/>
        <v>0</v>
      </c>
      <c r="H47" s="43">
        <f t="shared" si="1"/>
        <v>0</v>
      </c>
      <c r="I47" s="76">
        <f>12*2000*30</f>
        <v>720000</v>
      </c>
      <c r="J47" s="3"/>
      <c r="K47" s="3"/>
      <c r="L47" s="3"/>
      <c r="M47" s="3"/>
      <c r="N47" s="4"/>
    </row>
    <row r="48" spans="2:15">
      <c r="B48" s="11" t="s">
        <v>37</v>
      </c>
      <c r="C48" s="44">
        <f>IF(C$45&gt;$C$22,($C$23*12)*$C$20*((1+$C$24)^(C$45-1)),0)</f>
        <v>0</v>
      </c>
      <c r="D48" s="44">
        <f>IF(D$45&gt;$C$22,($C$23*12)*$C$20*((1+$C$24)^(D$45-1)),0)</f>
        <v>716880</v>
      </c>
      <c r="E48" s="44">
        <f t="shared" ref="E48:H48" si="2">IF(E$45&gt;$C$22,($C$23*12)*$C$20*((1+$C$24)^(E$45-1)),0)</f>
        <v>738386.4</v>
      </c>
      <c r="F48" s="44">
        <f t="shared" si="2"/>
        <v>760537.99199999997</v>
      </c>
      <c r="G48" s="44">
        <f t="shared" si="2"/>
        <v>783354.1317599999</v>
      </c>
      <c r="H48" s="45">
        <f t="shared" si="2"/>
        <v>806854.75571279984</v>
      </c>
      <c r="I48" s="46">
        <f>I47</f>
        <v>720000</v>
      </c>
      <c r="J48" s="75">
        <f>1.05*I48</f>
        <v>756000</v>
      </c>
      <c r="K48" s="75">
        <f>1.05*J48</f>
        <v>793800</v>
      </c>
      <c r="L48" s="75">
        <f>1.05*K48</f>
        <v>833490</v>
      </c>
      <c r="M48" s="3"/>
      <c r="N48" s="4"/>
    </row>
    <row r="49" spans="2:14">
      <c r="B49" s="11" t="s">
        <v>75</v>
      </c>
      <c r="C49" s="46">
        <f>C47/(2000*12)</f>
        <v>29</v>
      </c>
      <c r="D49" s="75">
        <f>D48/(12*2000)</f>
        <v>29.87</v>
      </c>
      <c r="E49" s="75">
        <f t="shared" ref="E49:H49" si="3">E48/(12*2000)</f>
        <v>30.766100000000002</v>
      </c>
      <c r="F49" s="75">
        <f t="shared" si="3"/>
        <v>31.689083</v>
      </c>
      <c r="G49" s="75">
        <f t="shared" si="3"/>
        <v>32.639755489999999</v>
      </c>
      <c r="H49" s="75">
        <f t="shared" si="3"/>
        <v>33.618948154699993</v>
      </c>
      <c r="I49" s="77">
        <f>I48/(12*2000)</f>
        <v>30</v>
      </c>
      <c r="J49" s="77">
        <f>J48/(12*2000)</f>
        <v>31.5</v>
      </c>
      <c r="K49" s="77">
        <f t="shared" ref="K49:L49" si="4">K48/(12*2000)</f>
        <v>33.075000000000003</v>
      </c>
      <c r="L49" s="77">
        <f t="shared" si="4"/>
        <v>34.728749999999998</v>
      </c>
      <c r="M49" s="3"/>
      <c r="N49" s="4"/>
    </row>
    <row r="50" spans="2:14">
      <c r="B50" s="32" t="s">
        <v>38</v>
      </c>
      <c r="C50" s="46">
        <f>C47</f>
        <v>696000</v>
      </c>
      <c r="D50" s="46">
        <f t="shared" ref="D50:H50" si="5">SUM(D47:D49)</f>
        <v>716909.87</v>
      </c>
      <c r="E50" s="46">
        <f t="shared" si="5"/>
        <v>738417.16610000003</v>
      </c>
      <c r="F50" s="46">
        <f t="shared" si="5"/>
        <v>760569.68108299992</v>
      </c>
      <c r="G50" s="46">
        <f t="shared" si="5"/>
        <v>783386.77151548991</v>
      </c>
      <c r="H50" s="47">
        <f t="shared" si="5"/>
        <v>806888.37466095458</v>
      </c>
      <c r="I50" s="3"/>
      <c r="J50" s="3"/>
      <c r="K50" s="3"/>
      <c r="L50" s="3"/>
      <c r="M50" s="3"/>
      <c r="N50" s="4"/>
    </row>
    <row r="51" spans="2:14">
      <c r="B51" s="32" t="s">
        <v>32</v>
      </c>
      <c r="C51" s="46">
        <f>(10/100)*C50</f>
        <v>69600</v>
      </c>
      <c r="D51" s="46">
        <f t="shared" ref="D51:H51" si="6">(10/100)*D50</f>
        <v>71690.987000000008</v>
      </c>
      <c r="E51" s="46">
        <f t="shared" si="6"/>
        <v>73841.716610000003</v>
      </c>
      <c r="F51" s="46">
        <f t="shared" si="6"/>
        <v>76056.968108299989</v>
      </c>
      <c r="G51" s="46">
        <f t="shared" si="6"/>
        <v>78338.677151548996</v>
      </c>
      <c r="H51" s="46">
        <f t="shared" si="6"/>
        <v>80688.837466095458</v>
      </c>
      <c r="I51" s="3"/>
      <c r="J51" s="3"/>
      <c r="K51" s="3"/>
      <c r="L51" s="3"/>
      <c r="M51" s="3"/>
      <c r="N51" s="4"/>
    </row>
    <row r="52" spans="2:14">
      <c r="B52" s="11" t="s">
        <v>74</v>
      </c>
      <c r="C52" s="42">
        <f>30000</f>
        <v>30000</v>
      </c>
      <c r="D52" s="42">
        <f>30000</f>
        <v>30000</v>
      </c>
      <c r="E52" s="42">
        <f>30000</f>
        <v>30000</v>
      </c>
      <c r="F52" s="42">
        <f>30000</f>
        <v>30000</v>
      </c>
      <c r="G52" s="42">
        <f>30000</f>
        <v>30000</v>
      </c>
      <c r="H52" s="42">
        <f>30000</f>
        <v>30000</v>
      </c>
      <c r="I52" s="3"/>
      <c r="J52" s="3"/>
      <c r="K52" s="3"/>
      <c r="L52" s="3"/>
      <c r="M52" s="3"/>
      <c r="N52" s="4"/>
    </row>
    <row r="53" spans="2:14">
      <c r="B53" s="11" t="s">
        <v>28</v>
      </c>
      <c r="C53" s="42">
        <v>24000</v>
      </c>
      <c r="D53" s="42">
        <v>24000</v>
      </c>
      <c r="E53" s="42">
        <v>24000</v>
      </c>
      <c r="F53" s="42">
        <v>24000</v>
      </c>
      <c r="G53" s="42">
        <v>24000</v>
      </c>
      <c r="H53" s="42">
        <v>24000</v>
      </c>
      <c r="I53" s="3"/>
      <c r="J53" s="3"/>
      <c r="K53" s="3"/>
      <c r="L53" s="3"/>
      <c r="M53" s="3"/>
      <c r="N53" s="4"/>
    </row>
    <row r="54" spans="2:14">
      <c r="B54" s="32" t="s">
        <v>39</v>
      </c>
      <c r="C54" s="42">
        <f>C50+C51+C52+C53</f>
        <v>819600</v>
      </c>
      <c r="D54" s="42">
        <f t="shared" ref="D54:H54" si="7">D50+D51+D52+D53</f>
        <v>842600.85699999996</v>
      </c>
      <c r="E54" s="42">
        <f t="shared" si="7"/>
        <v>866258.88271000003</v>
      </c>
      <c r="F54" s="42">
        <f t="shared" si="7"/>
        <v>890626.64919129992</v>
      </c>
      <c r="G54" s="42">
        <f t="shared" si="7"/>
        <v>915725.44866703893</v>
      </c>
      <c r="H54" s="42">
        <f t="shared" si="7"/>
        <v>941577.21212705004</v>
      </c>
      <c r="I54" s="3"/>
      <c r="J54" s="3"/>
      <c r="K54" s="3"/>
      <c r="L54" s="3"/>
      <c r="M54" s="3"/>
      <c r="N54" s="4"/>
    </row>
    <row r="55" spans="2:14">
      <c r="B55" s="32"/>
      <c r="C55" s="42"/>
      <c r="D55" s="42"/>
      <c r="E55" s="42"/>
      <c r="F55" s="42"/>
      <c r="G55" s="42"/>
      <c r="H55" s="42"/>
      <c r="I55" s="3"/>
      <c r="J55" s="3"/>
      <c r="K55" s="3"/>
      <c r="L55" s="3"/>
      <c r="M55" s="3"/>
      <c r="N55" s="4"/>
    </row>
    <row r="56" spans="2:14">
      <c r="B56" s="32"/>
      <c r="C56" s="42"/>
      <c r="D56" s="42"/>
      <c r="E56" s="42"/>
      <c r="F56" s="42"/>
      <c r="G56" s="42"/>
      <c r="H56" s="43"/>
      <c r="I56" s="3"/>
      <c r="J56" s="3"/>
      <c r="K56" s="3"/>
      <c r="L56" s="3"/>
      <c r="M56" s="3"/>
      <c r="N56" s="4"/>
    </row>
    <row r="57" spans="2:14">
      <c r="B57" s="32" t="s">
        <v>40</v>
      </c>
      <c r="C57" s="42"/>
      <c r="D57" s="42"/>
      <c r="E57" s="42"/>
      <c r="F57" s="42"/>
      <c r="G57" s="42"/>
      <c r="H57" s="43"/>
      <c r="I57" s="3"/>
      <c r="J57" s="3"/>
      <c r="K57" s="3"/>
      <c r="L57" s="3"/>
      <c r="M57" s="3"/>
      <c r="N57" s="4"/>
    </row>
    <row r="58" spans="2:14">
      <c r="B58" s="11" t="s">
        <v>32</v>
      </c>
      <c r="C58" s="42">
        <f>C51</f>
        <v>69600</v>
      </c>
      <c r="D58" s="42">
        <f t="shared" ref="D58:H58" si="8">D51</f>
        <v>71690.987000000008</v>
      </c>
      <c r="E58" s="42">
        <f t="shared" si="8"/>
        <v>73841.716610000003</v>
      </c>
      <c r="F58" s="42">
        <f t="shared" si="8"/>
        <v>76056.968108299989</v>
      </c>
      <c r="G58" s="42">
        <f t="shared" si="8"/>
        <v>78338.677151548996</v>
      </c>
      <c r="H58" s="42">
        <f t="shared" si="8"/>
        <v>80688.837466095458</v>
      </c>
      <c r="I58" s="3"/>
      <c r="J58" s="3"/>
      <c r="K58" s="3"/>
      <c r="L58" s="3"/>
      <c r="M58" s="3"/>
      <c r="N58" s="4"/>
    </row>
    <row r="59" spans="2:14">
      <c r="B59" s="11" t="s">
        <v>74</v>
      </c>
      <c r="C59" s="42">
        <f>C52</f>
        <v>30000</v>
      </c>
      <c r="D59" s="42">
        <f t="shared" ref="D59:H59" si="9">D52</f>
        <v>30000</v>
      </c>
      <c r="E59" s="42">
        <f t="shared" si="9"/>
        <v>30000</v>
      </c>
      <c r="F59" s="42">
        <f t="shared" si="9"/>
        <v>30000</v>
      </c>
      <c r="G59" s="42">
        <f t="shared" si="9"/>
        <v>30000</v>
      </c>
      <c r="H59" s="42">
        <f t="shared" si="9"/>
        <v>30000</v>
      </c>
      <c r="I59" s="3"/>
      <c r="J59" s="3"/>
      <c r="K59" s="3"/>
      <c r="L59" s="3"/>
      <c r="M59" s="3"/>
      <c r="N59" s="4"/>
    </row>
    <row r="60" spans="2:14">
      <c r="B60" s="11" t="s">
        <v>28</v>
      </c>
      <c r="C60" s="42">
        <f>C53</f>
        <v>24000</v>
      </c>
      <c r="D60" s="42">
        <f t="shared" ref="D60:H60" si="10">D53</f>
        <v>24000</v>
      </c>
      <c r="E60" s="42">
        <f t="shared" si="10"/>
        <v>24000</v>
      </c>
      <c r="F60" s="42">
        <f t="shared" si="10"/>
        <v>24000</v>
      </c>
      <c r="G60" s="42">
        <f t="shared" si="10"/>
        <v>24000</v>
      </c>
      <c r="H60" s="42">
        <f t="shared" si="10"/>
        <v>24000</v>
      </c>
      <c r="I60" s="3"/>
      <c r="J60" s="3"/>
      <c r="K60" s="3"/>
      <c r="L60" s="3"/>
      <c r="M60" s="3"/>
      <c r="N60" s="4"/>
    </row>
    <row r="61" spans="2:14">
      <c r="B61" s="11" t="s">
        <v>29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3"/>
      <c r="J61" s="3"/>
      <c r="K61" s="3"/>
      <c r="L61" s="3"/>
      <c r="M61" s="3"/>
      <c r="N61" s="4"/>
    </row>
    <row r="62" spans="2:14">
      <c r="B62" s="11" t="s">
        <v>30</v>
      </c>
      <c r="C62" s="42">
        <f>IF(C37&gt;0,C37*C$54,IF(D37&gt;0,D37,IF(E37&gt;0,E37*$C$8,0)))</f>
        <v>0</v>
      </c>
      <c r="D62" s="42">
        <f>IF(C37&gt;0,C37*D$54,IF(D37&gt;0,D37*((1+F37)^C$45),IF(E37&gt;0,E37*$C$8*((1+F37)^C$45),0)))</f>
        <v>0</v>
      </c>
      <c r="E62" s="42">
        <f>IF(C37&gt;0,C37*E$54,IF(D37&gt;0,D37*((1+F37)^D$45),IF(E37&gt;0,E37*$C$8*((1+F37)^D$45),0)))</f>
        <v>0</v>
      </c>
      <c r="F62" s="42">
        <f>IF(C37&gt;0,C37*F$54,IF(D37&gt;0,D37*((1+F37)^E$45),IF(E37&gt;0,E37*$C$8*((1+F37)^E$45),0)))</f>
        <v>0</v>
      </c>
      <c r="G62" s="42">
        <f>IF(C37&gt;0,C37*G$54,IF(D37&gt;0,D37*((1+F37)^F$45),IF(E37&gt;0,E37*$C$8*((1+F37)^F$45),0)))</f>
        <v>0</v>
      </c>
      <c r="H62" s="43">
        <f>IF(C37&gt;0,C37*H$54,IF(D37&gt;0,D37*((1+F37)^G$45),IF(E37&gt;0,E37*$C$8*((1+F37)^G$45),0)))</f>
        <v>0</v>
      </c>
      <c r="I62" s="3"/>
      <c r="J62" s="3"/>
      <c r="K62" s="3"/>
      <c r="L62" s="3"/>
      <c r="M62" s="3"/>
      <c r="N62" s="4"/>
    </row>
    <row r="63" spans="2:14">
      <c r="B63" s="11" t="s">
        <v>31</v>
      </c>
      <c r="C63" s="42">
        <f>IF(C38&gt;0,C38*C$54,IF(D38&gt;0,D38,IF(E38&gt;0,E38*$C$8,0)))</f>
        <v>0</v>
      </c>
      <c r="D63" s="42">
        <f>IF(C38&gt;0,C38*D$54,IF(D38&gt;0,D38*((1+F38)^C$45),IF(E38&gt;0,E38*$C$8*((1+F38)^C$45),0)))</f>
        <v>0</v>
      </c>
      <c r="E63" s="42">
        <f>IF(C38&gt;0,C38*E$54,IF(D38&gt;0,D38*((1+F38)^D$45),IF(E38&gt;0,E38*$C$8*((1+F38)^D$45),0)))</f>
        <v>0</v>
      </c>
      <c r="F63" s="42">
        <f>IF(C38&gt;0,C38*F$54,IF(D38&gt;0,D38*((1+F38)^E$45),IF(E38&gt;0,E38*$C$8*((1+F38)^E$45),0)))</f>
        <v>0</v>
      </c>
      <c r="G63" s="42">
        <f>IF(C38&gt;0,C38*G$54,IF(D38&gt;0,D38*((1+F38)^F$45),IF(E38&gt;0,E38*$C$8*((1+F38)^F$45),0)))</f>
        <v>0</v>
      </c>
      <c r="H63" s="43">
        <f>IF(C38&gt;0,C38*H$54,IF(D38&gt;0,D38*((1+F38)^G$45),IF(E38&gt;0,E38*$C$8*((1+F38)^G$45),0)))</f>
        <v>0</v>
      </c>
      <c r="I63" s="3"/>
      <c r="J63" s="3"/>
      <c r="K63" s="3"/>
      <c r="L63" s="3"/>
      <c r="M63" s="3"/>
      <c r="N63" s="4"/>
    </row>
    <row r="64" spans="2:14">
      <c r="B64" s="11" t="s">
        <v>62</v>
      </c>
      <c r="C64" s="42">
        <f>IF(C39&gt;0,C39*C$54,IF(D39&gt;0,D39,IF(E39&gt;0,E39*$C$8,0)))</f>
        <v>0</v>
      </c>
      <c r="D64" s="42">
        <f>IF(C39&gt;0,C39*D$54,IF(D39&gt;0,D39*((1+F39)^C$45),IF(E39&gt;0,E39*$C$8*((1+F39)^C$45),0)))</f>
        <v>0</v>
      </c>
      <c r="E64" s="42">
        <f>IF(C39&gt;0,C39*E$54,IF(D39&gt;0,D39*((1+F39)^D$45),IF(E39&gt;0,E39*$C$8*((1+F39)^D$45),0)))</f>
        <v>0</v>
      </c>
      <c r="F64" s="42">
        <f>IF(C39&gt;0,C39*F$54,IF(D39&gt;0,D39*((1+F39)^E$45),IF(E39&gt;0,E39*$C$8*((1+F39)^E$45),0)))</f>
        <v>0</v>
      </c>
      <c r="G64" s="42">
        <f>IF(C39&gt;0,C39*G$54,IF(D39&gt;0,D39*((1+F39)^F$45),IF(E39&gt;0,E39*$C$8*((1+F39)^F$45),0)))</f>
        <v>0</v>
      </c>
      <c r="H64" s="43">
        <f>IF(C39&gt;0,C39*H$54,IF(D39&gt;0,D39*((1+F39)^G$45),IF(E39&gt;0,E39*$C$8*((1+F39)^G$45),0)))</f>
        <v>0</v>
      </c>
      <c r="I64" s="3"/>
      <c r="J64" s="3"/>
      <c r="K64" s="3"/>
      <c r="L64" s="3"/>
      <c r="M64" s="3"/>
      <c r="N64" s="4"/>
    </row>
    <row r="65" spans="2:14">
      <c r="B65" s="11" t="s">
        <v>33</v>
      </c>
      <c r="C65" s="42">
        <f>IF(C40&gt;0,C40*C$54,IF(D40&gt;0,D40,IF(E40&gt;0,E40*$C$8,0)))</f>
        <v>0</v>
      </c>
      <c r="D65" s="42">
        <f>IF(C40&gt;0,C40*D$54,IF(D40&gt;0,D40*((1+F40)^C$45),IF(E40&gt;0,E40*$C$8*((1+F40)^C$45),0)))</f>
        <v>0</v>
      </c>
      <c r="E65" s="42">
        <f>IF(C40&gt;0,C40*E$54,IF(D40&gt;0,D40*((1+F40)^D$45),IF(E40&gt;0,E40*$C$8*((1+F40)^D$45),0)))</f>
        <v>0</v>
      </c>
      <c r="F65" s="42">
        <f>IF(C40&gt;0,C40*F$54,IF(D40&gt;0,D40*((1+F40)^E$45),IF(E40&gt;0,E40*$C$8*((1+F40)^E$45),0)))</f>
        <v>0</v>
      </c>
      <c r="G65" s="42">
        <f>IF(C40&gt;0,C40*G$54,IF(D40&gt;0,D40*((1+F40)^F$45),IF(E40&gt;0,E40*$C$8*((1+F40)^F$45),0)))</f>
        <v>0</v>
      </c>
      <c r="H65" s="43">
        <f>IF(C40&gt;0,C40*H$54,IF(D40&gt;0,D40*((1+F40)^G$45),IF(E40&gt;0,E40*$C$8*((1+F40)^G$45),0)))</f>
        <v>0</v>
      </c>
      <c r="I65" s="3"/>
      <c r="J65" s="3"/>
      <c r="K65" s="3"/>
      <c r="L65" s="3"/>
      <c r="M65" s="3"/>
      <c r="N65" s="4"/>
    </row>
    <row r="66" spans="2:14">
      <c r="B66" s="32" t="s">
        <v>41</v>
      </c>
      <c r="C66" s="46">
        <f t="shared" ref="C66:H66" si="11">SUM(C58:C65)</f>
        <v>123600</v>
      </c>
      <c r="D66" s="46">
        <f t="shared" si="11"/>
        <v>125690.98700000001</v>
      </c>
      <c r="E66" s="46">
        <f t="shared" si="11"/>
        <v>127841.71661</v>
      </c>
      <c r="F66" s="46">
        <f t="shared" si="11"/>
        <v>130056.96810829999</v>
      </c>
      <c r="G66" s="46">
        <f t="shared" si="11"/>
        <v>132338.677151549</v>
      </c>
      <c r="H66" s="47">
        <f t="shared" si="11"/>
        <v>134688.83746609546</v>
      </c>
      <c r="I66" s="3"/>
      <c r="J66" s="3"/>
      <c r="K66" s="3"/>
      <c r="L66" s="3"/>
      <c r="M66" s="3"/>
      <c r="N66" s="4"/>
    </row>
    <row r="67" spans="2:14">
      <c r="B67" s="32"/>
      <c r="C67" s="46"/>
      <c r="D67" s="46"/>
      <c r="E67" s="46"/>
      <c r="F67" s="46"/>
      <c r="G67" s="46"/>
      <c r="H67" s="47"/>
      <c r="I67" s="3"/>
      <c r="J67" s="3"/>
      <c r="K67" s="3"/>
      <c r="L67" s="3"/>
      <c r="M67" s="3"/>
      <c r="N67" s="4"/>
    </row>
    <row r="68" spans="2:14">
      <c r="B68" s="32" t="s">
        <v>42</v>
      </c>
      <c r="C68" s="46">
        <f t="shared" ref="C68:H68" si="12">C54-C66</f>
        <v>696000</v>
      </c>
      <c r="D68" s="46">
        <f t="shared" si="12"/>
        <v>716909.87</v>
      </c>
      <c r="E68" s="46">
        <f t="shared" si="12"/>
        <v>738417.16610000003</v>
      </c>
      <c r="F68" s="46">
        <f t="shared" si="12"/>
        <v>760569.68108299992</v>
      </c>
      <c r="G68" s="46">
        <f t="shared" si="12"/>
        <v>783386.77151548991</v>
      </c>
      <c r="H68" s="47">
        <f t="shared" si="12"/>
        <v>806888.37466095458</v>
      </c>
      <c r="I68" s="3"/>
      <c r="J68" s="3"/>
      <c r="K68" s="3"/>
      <c r="L68" s="3"/>
      <c r="M68" s="3"/>
      <c r="N68" s="4"/>
    </row>
    <row r="69" spans="2:14">
      <c r="B69" s="1"/>
      <c r="C69" s="3"/>
      <c r="D69" s="3"/>
      <c r="E69" s="3"/>
      <c r="F69" s="3"/>
      <c r="G69" s="3"/>
      <c r="H69" s="4"/>
      <c r="I69" s="3"/>
      <c r="J69" s="3"/>
      <c r="K69" s="3"/>
      <c r="L69" s="3"/>
      <c r="M69" s="3"/>
      <c r="N69" s="4"/>
    </row>
    <row r="70" spans="2:14">
      <c r="B70" s="11" t="s">
        <v>43</v>
      </c>
      <c r="C70" s="48">
        <f t="shared" ref="C70:H70" si="13">C66/C54</f>
        <v>0.15080527086383602</v>
      </c>
      <c r="D70" s="48">
        <f t="shared" si="13"/>
        <v>0.14917025772737852</v>
      </c>
      <c r="E70" s="48">
        <f t="shared" si="13"/>
        <v>0.14757911192790382</v>
      </c>
      <c r="F70" s="48">
        <f t="shared" si="13"/>
        <v>0.14602860606786619</v>
      </c>
      <c r="G70" s="48">
        <f t="shared" si="13"/>
        <v>0.14451785449905938</v>
      </c>
      <c r="H70" s="49">
        <f t="shared" si="13"/>
        <v>0.1430459825613552</v>
      </c>
      <c r="I70" s="3"/>
      <c r="J70" s="3"/>
      <c r="K70" s="3"/>
      <c r="L70" s="3"/>
      <c r="M70" s="3"/>
      <c r="N70" s="4"/>
    </row>
    <row r="71" spans="2:14">
      <c r="B71" s="1"/>
      <c r="C71" s="3"/>
      <c r="D71" s="3"/>
      <c r="E71" s="3"/>
      <c r="F71" s="3"/>
      <c r="G71" s="3"/>
      <c r="H71" s="4"/>
      <c r="I71" s="3"/>
      <c r="J71" s="3"/>
      <c r="K71" s="3"/>
      <c r="L71" s="3"/>
      <c r="M71" s="3"/>
      <c r="N71" s="4"/>
    </row>
    <row r="72" spans="2:14">
      <c r="B72" s="1"/>
      <c r="C72" s="50"/>
      <c r="D72" s="50"/>
      <c r="E72" s="50"/>
      <c r="F72" s="50"/>
      <c r="G72" s="50"/>
      <c r="H72" s="51"/>
      <c r="I72" s="3"/>
      <c r="J72" s="3"/>
      <c r="K72" s="3"/>
      <c r="L72" s="3"/>
      <c r="M72" s="3"/>
      <c r="N72" s="4"/>
    </row>
    <row r="73" spans="2:14">
      <c r="B73" s="11" t="s">
        <v>44</v>
      </c>
      <c r="C73" s="52">
        <f t="shared" ref="C73:H73" si="14">C68</f>
        <v>696000</v>
      </c>
      <c r="D73" s="52">
        <f t="shared" si="14"/>
        <v>716909.87</v>
      </c>
      <c r="E73" s="52">
        <f t="shared" si="14"/>
        <v>738417.16610000003</v>
      </c>
      <c r="F73" s="52">
        <f t="shared" si="14"/>
        <v>760569.68108299992</v>
      </c>
      <c r="G73" s="52">
        <f t="shared" si="14"/>
        <v>783386.77151548991</v>
      </c>
      <c r="H73" s="53">
        <f t="shared" si="14"/>
        <v>806888.37466095458</v>
      </c>
      <c r="I73" s="3"/>
      <c r="J73" s="3"/>
      <c r="K73" s="3"/>
      <c r="L73" s="3"/>
      <c r="M73" s="3"/>
      <c r="N73" s="4"/>
    </row>
    <row r="74" spans="2:14">
      <c r="B74" s="11" t="s">
        <v>45</v>
      </c>
      <c r="C74" s="54">
        <f>(1/((1+$C$14)^C45))</f>
        <v>0.92592592592592582</v>
      </c>
      <c r="D74" s="54">
        <f>(1/((1+$C$14)^D45))</f>
        <v>0.85733882030178321</v>
      </c>
      <c r="E74" s="54">
        <f>(1/((1+$C$14)^E45))</f>
        <v>0.79383224102016958</v>
      </c>
      <c r="F74" s="54">
        <f>(1/((1+$C$14)^F45))</f>
        <v>0.73502985279645328</v>
      </c>
      <c r="G74" s="54">
        <f>(1/((1+$C$14)^G45))</f>
        <v>0.68058319703375303</v>
      </c>
      <c r="H74" s="55"/>
      <c r="I74" s="3"/>
      <c r="J74" s="3"/>
      <c r="K74" s="3"/>
      <c r="L74" s="3"/>
      <c r="M74" s="3"/>
      <c r="N74" s="4"/>
    </row>
    <row r="75" spans="2:14">
      <c r="B75" s="11" t="s">
        <v>46</v>
      </c>
      <c r="C75" s="52">
        <f>C73*C74</f>
        <v>644444.44444444438</v>
      </c>
      <c r="D75" s="52">
        <f>D73*(1/((1+$C$14)^D45))</f>
        <v>614634.66220850474</v>
      </c>
      <c r="E75" s="52">
        <f>E73*(1/((1+$C$14)^E45))</f>
        <v>586179.3537729258</v>
      </c>
      <c r="F75" s="52">
        <f>F73*(1/((1+$C$14)^F45))</f>
        <v>559041.42072788288</v>
      </c>
      <c r="G75" s="52">
        <f>G73*(1/((1+$C$14)^G45))</f>
        <v>533159.87347196229</v>
      </c>
      <c r="H75" s="56"/>
      <c r="I75" s="3"/>
      <c r="J75" s="3"/>
      <c r="K75" s="3"/>
      <c r="L75" s="3"/>
      <c r="M75" s="3"/>
      <c r="N75" s="4"/>
    </row>
    <row r="76" spans="2:14">
      <c r="B76" s="1"/>
      <c r="C76" s="3"/>
      <c r="D76" s="3"/>
      <c r="E76" s="3"/>
      <c r="F76" s="3"/>
      <c r="G76" s="3"/>
      <c r="H76" s="4"/>
      <c r="I76" s="3"/>
      <c r="J76" s="3"/>
      <c r="K76" s="3"/>
      <c r="L76" s="3"/>
      <c r="M76" s="3"/>
      <c r="N76" s="4"/>
    </row>
    <row r="77" spans="2:14">
      <c r="B77" s="1"/>
      <c r="C77" s="50"/>
      <c r="D77" s="50"/>
      <c r="E77" s="50"/>
      <c r="F77" s="3"/>
      <c r="G77" s="3"/>
      <c r="H77" s="51"/>
      <c r="I77" s="3"/>
      <c r="J77" s="3"/>
      <c r="K77" s="3"/>
      <c r="L77" s="3"/>
      <c r="M77" s="3"/>
      <c r="N77" s="4"/>
    </row>
    <row r="78" spans="2:14">
      <c r="B78" s="11" t="s">
        <v>47</v>
      </c>
      <c r="C78" s="52" t="e">
        <f>$H$73/$C$15</f>
        <v>#DIV/0!</v>
      </c>
      <c r="D78" s="57"/>
      <c r="E78" s="58"/>
      <c r="F78" s="58" t="s">
        <v>48</v>
      </c>
      <c r="G78" s="52">
        <f>C75+D75+E75+F75+G75</f>
        <v>2937459.75462572</v>
      </c>
      <c r="H78" s="51"/>
      <c r="I78" s="3"/>
      <c r="J78" s="3"/>
      <c r="K78" s="3"/>
      <c r="L78" s="3"/>
      <c r="M78" s="3"/>
      <c r="N78" s="4"/>
    </row>
    <row r="79" spans="2:14">
      <c r="B79" s="11" t="s">
        <v>13</v>
      </c>
      <c r="C79" s="52" t="e">
        <f>$C$78*$C$16</f>
        <v>#DIV/0!</v>
      </c>
      <c r="D79" s="57"/>
      <c r="E79" s="58"/>
      <c r="F79" s="58" t="s">
        <v>49</v>
      </c>
      <c r="G79" s="59" t="e">
        <f>C82</f>
        <v>#DIV/0!</v>
      </c>
      <c r="H79" s="51"/>
      <c r="I79" s="3"/>
      <c r="J79" s="3"/>
      <c r="K79" s="3"/>
      <c r="L79" s="3"/>
      <c r="M79" s="3"/>
      <c r="N79" s="4"/>
    </row>
    <row r="80" spans="2:14">
      <c r="B80" s="11" t="s">
        <v>50</v>
      </c>
      <c r="C80" s="52" t="e">
        <f>C78-C79</f>
        <v>#DIV/0!</v>
      </c>
      <c r="D80" s="57"/>
      <c r="E80" s="58"/>
      <c r="F80" s="60" t="s">
        <v>51</v>
      </c>
      <c r="G80" s="52" t="e">
        <f>G79+G78</f>
        <v>#DIV/0!</v>
      </c>
      <c r="H80" s="51"/>
      <c r="I80" s="3"/>
      <c r="J80" s="3"/>
      <c r="K80" s="3"/>
      <c r="L80" s="3"/>
      <c r="M80" s="3"/>
      <c r="N80" s="4"/>
    </row>
    <row r="81" spans="2:14">
      <c r="B81" s="11" t="s">
        <v>52</v>
      </c>
      <c r="C81" s="61">
        <f>(1/((1+$C$14)^$C$13))</f>
        <v>0.63016962688310452</v>
      </c>
      <c r="D81" s="57"/>
      <c r="E81" s="58"/>
      <c r="F81" s="58"/>
      <c r="G81" s="62"/>
      <c r="H81" s="51"/>
      <c r="I81" s="3"/>
      <c r="J81" s="3"/>
      <c r="K81" s="3"/>
      <c r="L81" s="3"/>
      <c r="M81" s="3"/>
      <c r="N81" s="4"/>
    </row>
    <row r="82" spans="2:14" ht="15" thickBot="1">
      <c r="B82" s="11" t="s">
        <v>53</v>
      </c>
      <c r="C82" s="52" t="e">
        <f>C80*C81</f>
        <v>#DIV/0!</v>
      </c>
      <c r="D82" s="50"/>
      <c r="E82" s="3"/>
      <c r="F82" s="50"/>
      <c r="G82" s="50"/>
      <c r="H82" s="51"/>
      <c r="I82" s="3"/>
      <c r="J82" s="3"/>
      <c r="K82" s="3"/>
      <c r="L82" s="3"/>
      <c r="M82" s="3"/>
      <c r="N82" s="4"/>
    </row>
    <row r="83" spans="2:14" ht="15" thickBot="1">
      <c r="B83" s="63"/>
      <c r="C83" s="64"/>
      <c r="D83" s="65"/>
      <c r="E83" s="66" t="s">
        <v>54</v>
      </c>
      <c r="F83" s="65"/>
      <c r="G83" s="67" t="e">
        <f>(C78/G80)-1</f>
        <v>#DIV/0!</v>
      </c>
      <c r="H83" s="68"/>
      <c r="I83" s="3"/>
      <c r="J83" s="3"/>
      <c r="K83" s="3"/>
      <c r="L83" s="3"/>
      <c r="M83" s="3"/>
      <c r="N83" s="4"/>
    </row>
    <row r="84" spans="2:14" ht="15" thickBot="1">
      <c r="B84" s="63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8"/>
    </row>
    <row r="87" spans="2:14">
      <c r="C87" t="s">
        <v>68</v>
      </c>
      <c r="D87" t="s">
        <v>69</v>
      </c>
    </row>
    <row r="88" spans="2:14">
      <c r="B88" t="s">
        <v>65</v>
      </c>
      <c r="C88">
        <f>(F49+G49+H49)/3</f>
        <v>32.649262214899998</v>
      </c>
      <c r="D88">
        <f>(F49+G49+H49+I49+J49+K49+L49)/7</f>
        <v>32.464505234957137</v>
      </c>
    </row>
    <row r="89" spans="2:14">
      <c r="B89" t="s">
        <v>72</v>
      </c>
      <c r="C89" s="78">
        <v>84.03</v>
      </c>
      <c r="D89" s="78">
        <v>106.57</v>
      </c>
    </row>
    <row r="90" spans="2:14">
      <c r="B90" t="s">
        <v>73</v>
      </c>
      <c r="C90" s="78">
        <v>32.61</v>
      </c>
      <c r="D90" s="78">
        <v>32.18</v>
      </c>
    </row>
  </sheetData>
  <mergeCells count="3">
    <mergeCell ref="B2:N2"/>
    <mergeCell ref="B44:H44"/>
    <mergeCell ref="I44:O4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B8" sqref="B8"/>
    </sheetView>
  </sheetViews>
  <sheetFormatPr baseColWidth="10" defaultRowHeight="14" x14ac:dyDescent="0"/>
  <sheetData>
    <row r="3" spans="1:3">
      <c r="B3" t="s">
        <v>70</v>
      </c>
    </row>
    <row r="4" spans="1:3">
      <c r="C4">
        <v>12</v>
      </c>
    </row>
    <row r="5" spans="1:3">
      <c r="C5">
        <v>14</v>
      </c>
    </row>
    <row r="6" spans="1:3">
      <c r="C6">
        <v>15</v>
      </c>
    </row>
    <row r="7" spans="1:3">
      <c r="A7" t="s">
        <v>71</v>
      </c>
      <c r="B7">
        <v>12</v>
      </c>
    </row>
    <row r="8" spans="1:3">
      <c r="B8" s="78">
        <f>NPV(12,C4:C6)</f>
        <v>1.0127446517979062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Oakwood Apartment</vt:lpstr>
      <vt:lpstr>Sheet1</vt:lpstr>
    </vt:vector>
  </TitlesOfParts>
  <Company>WSOB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Moussa</dc:creator>
  <cp:lastModifiedBy>kbah Bah</cp:lastModifiedBy>
  <dcterms:created xsi:type="dcterms:W3CDTF">2013-10-28T00:58:47Z</dcterms:created>
  <dcterms:modified xsi:type="dcterms:W3CDTF">2017-04-18T04:35:50Z</dcterms:modified>
</cp:coreProperties>
</file>