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360" yWindow="100" windowWidth="14300" windowHeight="4100" activeTab="2"/>
  </bookViews>
  <sheets>
    <sheet name="CFs" sheetId="1" r:id="rId1"/>
    <sheet name="Amortization" sheetId="2" r:id="rId2"/>
    <sheet name="Leverag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1" i="1" l="1"/>
  <c r="B22" i="1"/>
  <c r="C22" i="1"/>
  <c r="D22" i="1"/>
  <c r="E22" i="1"/>
  <c r="B44" i="1"/>
  <c r="E2" i="2"/>
  <c r="C3" i="2"/>
  <c r="B3" i="2"/>
  <c r="D3" i="2"/>
  <c r="E3" i="2"/>
  <c r="C4" i="2"/>
  <c r="B4" i="2"/>
  <c r="D4" i="2"/>
  <c r="E4" i="2"/>
  <c r="C5" i="2"/>
  <c r="B5" i="2"/>
  <c r="D5" i="2"/>
  <c r="E5" i="2"/>
  <c r="C6" i="2"/>
  <c r="B6" i="2"/>
  <c r="D6" i="2"/>
  <c r="E6" i="2"/>
  <c r="C7" i="2"/>
  <c r="B7" i="2"/>
  <c r="D7" i="2"/>
  <c r="E7" i="2"/>
  <c r="C8" i="2"/>
  <c r="B8" i="2"/>
  <c r="D8" i="2"/>
  <c r="E8" i="2"/>
  <c r="C9" i="2"/>
  <c r="B9" i="2"/>
  <c r="D9" i="2"/>
  <c r="E9" i="2"/>
  <c r="C10" i="2"/>
  <c r="B10" i="2"/>
  <c r="D10" i="2"/>
  <c r="E10" i="2"/>
  <c r="C11" i="2"/>
  <c r="B11" i="2"/>
  <c r="D11" i="2"/>
  <c r="E11" i="2"/>
  <c r="C12" i="2"/>
  <c r="B12" i="2"/>
  <c r="D12" i="2"/>
  <c r="E12" i="2"/>
  <c r="C13" i="2"/>
  <c r="B13" i="2"/>
  <c r="D13" i="2"/>
  <c r="E13" i="2"/>
  <c r="C14" i="2"/>
  <c r="B23" i="1"/>
  <c r="C38" i="3"/>
  <c r="C47" i="3"/>
  <c r="D93" i="3"/>
  <c r="D38" i="3"/>
  <c r="E38" i="3"/>
  <c r="F38" i="3"/>
  <c r="G38" i="3"/>
  <c r="G47" i="3"/>
  <c r="E56" i="3"/>
  <c r="E57" i="3"/>
  <c r="D63" i="3"/>
  <c r="D64" i="3"/>
  <c r="E60" i="3"/>
  <c r="D65" i="3"/>
  <c r="C67" i="3"/>
  <c r="C68" i="3"/>
  <c r="D69" i="3"/>
  <c r="D71" i="3"/>
  <c r="E72" i="3"/>
  <c r="H93" i="3"/>
  <c r="C24" i="3"/>
  <c r="C25" i="3"/>
  <c r="C31" i="3"/>
  <c r="G39" i="3"/>
  <c r="G40" i="3"/>
  <c r="G41" i="3"/>
  <c r="G42" i="3"/>
  <c r="G43" i="3"/>
  <c r="D30" i="3"/>
  <c r="E30" i="3"/>
  <c r="F30" i="3"/>
  <c r="G30" i="3"/>
  <c r="G32" i="3"/>
  <c r="E58" i="3"/>
  <c r="E59" i="3"/>
  <c r="E61" i="3"/>
  <c r="H78" i="3"/>
  <c r="C23" i="3"/>
  <c r="C78" i="3"/>
  <c r="C39" i="3"/>
  <c r="C40" i="3"/>
  <c r="C41" i="3"/>
  <c r="C42" i="3"/>
  <c r="C43" i="3"/>
  <c r="D78" i="3"/>
  <c r="D39" i="3"/>
  <c r="D40" i="3"/>
  <c r="D41" i="3"/>
  <c r="D42" i="3"/>
  <c r="D43" i="3"/>
  <c r="E78" i="3"/>
  <c r="E39" i="3"/>
  <c r="E40" i="3"/>
  <c r="E41" i="3"/>
  <c r="E42" i="3"/>
  <c r="E43" i="3"/>
  <c r="F78" i="3"/>
  <c r="F39" i="3"/>
  <c r="F40" i="3"/>
  <c r="F41" i="3"/>
  <c r="F42" i="3"/>
  <c r="F43" i="3"/>
  <c r="G78" i="3"/>
  <c r="C79" i="3"/>
  <c r="C82" i="3"/>
  <c r="C45" i="3"/>
  <c r="C32" i="3"/>
  <c r="C33" i="3"/>
  <c r="C46" i="3"/>
  <c r="C48" i="3"/>
  <c r="C49" i="3"/>
  <c r="C50" i="3"/>
  <c r="C51" i="3"/>
  <c r="C52" i="3"/>
  <c r="D82" i="3"/>
  <c r="D45" i="3"/>
  <c r="D32" i="3"/>
  <c r="D33" i="3"/>
  <c r="D46" i="3"/>
  <c r="D47" i="3"/>
  <c r="D48" i="3"/>
  <c r="D49" i="3"/>
  <c r="D50" i="3"/>
  <c r="D51" i="3"/>
  <c r="D52" i="3"/>
  <c r="E82" i="3"/>
  <c r="E45" i="3"/>
  <c r="E32" i="3"/>
  <c r="E33" i="3"/>
  <c r="E46" i="3"/>
  <c r="E47" i="3"/>
  <c r="E48" i="3"/>
  <c r="E49" i="3"/>
  <c r="E50" i="3"/>
  <c r="E51" i="3"/>
  <c r="E52" i="3"/>
  <c r="F82" i="3"/>
  <c r="F45" i="3"/>
  <c r="F32" i="3"/>
  <c r="F33" i="3"/>
  <c r="F46" i="3"/>
  <c r="F47" i="3"/>
  <c r="F48" i="3"/>
  <c r="F49" i="3"/>
  <c r="F50" i="3"/>
  <c r="F51" i="3"/>
  <c r="F52" i="3"/>
  <c r="G82" i="3"/>
  <c r="G45" i="3"/>
  <c r="G33" i="3"/>
  <c r="G46" i="3"/>
  <c r="G48" i="3"/>
  <c r="G49" i="3"/>
  <c r="G50" i="3"/>
  <c r="G51" i="3"/>
  <c r="G52" i="3"/>
  <c r="E74" i="3"/>
  <c r="H82" i="3"/>
  <c r="C83" i="3"/>
  <c r="C84" i="3"/>
  <c r="B29" i="1"/>
  <c r="B21" i="1"/>
  <c r="C21" i="1"/>
  <c r="D21" i="1"/>
  <c r="E21" i="1"/>
  <c r="C93" i="3"/>
  <c r="C89" i="3"/>
  <c r="E27" i="3"/>
  <c r="C102" i="3"/>
  <c r="D101" i="3"/>
  <c r="C103" i="3"/>
  <c r="C109" i="3"/>
  <c r="E89" i="3"/>
  <c r="E93" i="3"/>
  <c r="E101" i="3"/>
  <c r="C26" i="3"/>
  <c r="D89" i="3"/>
  <c r="B38" i="1"/>
  <c r="B37" i="1"/>
  <c r="F31" i="3"/>
  <c r="G31" i="3"/>
  <c r="D31" i="3"/>
  <c r="E31" i="3"/>
  <c r="C27" i="3"/>
  <c r="F93" i="3"/>
  <c r="F89" i="3"/>
  <c r="F101" i="3"/>
  <c r="B40" i="1"/>
  <c r="C29" i="1"/>
  <c r="D29" i="1"/>
  <c r="E29" i="1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E28" i="1"/>
  <c r="G93" i="3"/>
  <c r="G89" i="3"/>
  <c r="G101" i="3"/>
  <c r="H99" i="3"/>
  <c r="G99" i="3"/>
  <c r="C34" i="3"/>
  <c r="B45" i="1"/>
  <c r="B50" i="1"/>
  <c r="B39" i="1"/>
  <c r="B48" i="1"/>
  <c r="B41" i="1"/>
  <c r="B70" i="1"/>
  <c r="C28" i="1"/>
  <c r="B28" i="1"/>
  <c r="D28" i="1"/>
  <c r="B42" i="1"/>
  <c r="B49" i="1"/>
  <c r="D34" i="3"/>
  <c r="H89" i="3"/>
  <c r="E34" i="3"/>
  <c r="F99" i="3"/>
  <c r="F103" i="3"/>
  <c r="G103" i="3"/>
  <c r="E99" i="3"/>
  <c r="E103" i="3"/>
  <c r="H100" i="3"/>
  <c r="D99" i="3"/>
  <c r="D103" i="3"/>
  <c r="C110" i="3"/>
  <c r="C90" i="3"/>
  <c r="C94" i="3"/>
  <c r="H101" i="3"/>
  <c r="H103" i="3"/>
  <c r="C162" i="3"/>
  <c r="C154" i="3"/>
  <c r="C146" i="3"/>
  <c r="C138" i="3"/>
  <c r="C130" i="3"/>
  <c r="C122" i="3"/>
  <c r="C114" i="3"/>
  <c r="C167" i="3"/>
  <c r="C151" i="3"/>
  <c r="C143" i="3"/>
  <c r="C127" i="3"/>
  <c r="C119" i="3"/>
  <c r="C166" i="3"/>
  <c r="C150" i="3"/>
  <c r="C142" i="3"/>
  <c r="C126" i="3"/>
  <c r="C169" i="3"/>
  <c r="C161" i="3"/>
  <c r="C153" i="3"/>
  <c r="C145" i="3"/>
  <c r="C137" i="3"/>
  <c r="C129" i="3"/>
  <c r="C121" i="3"/>
  <c r="C113" i="3"/>
  <c r="C168" i="3"/>
  <c r="C160" i="3"/>
  <c r="C152" i="3"/>
  <c r="C144" i="3"/>
  <c r="C136" i="3"/>
  <c r="C128" i="3"/>
  <c r="C120" i="3"/>
  <c r="C112" i="3"/>
  <c r="C159" i="3"/>
  <c r="C135" i="3"/>
  <c r="C111" i="3"/>
  <c r="C158" i="3"/>
  <c r="C134" i="3"/>
  <c r="C118" i="3"/>
  <c r="C165" i="3"/>
  <c r="C157" i="3"/>
  <c r="C149" i="3"/>
  <c r="C141" i="3"/>
  <c r="C133" i="3"/>
  <c r="C125" i="3"/>
  <c r="C117" i="3"/>
  <c r="C164" i="3"/>
  <c r="C156" i="3"/>
  <c r="C148" i="3"/>
  <c r="C140" i="3"/>
  <c r="C132" i="3"/>
  <c r="C124" i="3"/>
  <c r="C116" i="3"/>
  <c r="C163" i="3"/>
  <c r="C155" i="3"/>
  <c r="C147" i="3"/>
  <c r="C139" i="3"/>
  <c r="C131" i="3"/>
  <c r="C123" i="3"/>
  <c r="C115" i="3"/>
  <c r="F34" i="3"/>
  <c r="G34" i="3"/>
  <c r="C171" i="3"/>
  <c r="C104" i="3"/>
  <c r="B24" i="1"/>
  <c r="B25" i="1"/>
  <c r="D14" i="2"/>
  <c r="E14" i="2"/>
  <c r="B30" i="1"/>
  <c r="B31" i="1"/>
  <c r="C59" i="1"/>
  <c r="C70" i="1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C23" i="1"/>
  <c r="D26" i="2"/>
  <c r="E26" i="2"/>
  <c r="C24" i="1"/>
  <c r="C25" i="1"/>
  <c r="C30" i="1"/>
  <c r="C31" i="1"/>
  <c r="D59" i="1"/>
  <c r="D70" i="1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D23" i="1"/>
  <c r="D24" i="1"/>
  <c r="D25" i="1"/>
  <c r="D30" i="1"/>
  <c r="D31" i="1"/>
  <c r="E59" i="1"/>
  <c r="E70" i="1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C48" i="2"/>
  <c r="D48" i="2"/>
  <c r="E48" i="2"/>
  <c r="C49" i="2"/>
  <c r="D49" i="2"/>
  <c r="E49" i="2"/>
  <c r="C50" i="2"/>
  <c r="D50" i="2"/>
  <c r="E50" i="2"/>
  <c r="B51" i="1"/>
  <c r="B52" i="1"/>
  <c r="E23" i="1"/>
  <c r="E24" i="1"/>
  <c r="E25" i="1"/>
  <c r="E30" i="1"/>
  <c r="E31" i="1"/>
  <c r="F59" i="1"/>
  <c r="B60" i="1"/>
  <c r="B62" i="1"/>
  <c r="C51" i="2"/>
  <c r="D51" i="2"/>
  <c r="E51" i="2"/>
  <c r="B64" i="1"/>
  <c r="F70" i="1"/>
  <c r="B72" i="1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C59" i="2"/>
  <c r="D59" i="2"/>
  <c r="E59" i="2"/>
  <c r="C60" i="2"/>
  <c r="D60" i="2"/>
  <c r="E60" i="2"/>
  <c r="C61" i="2"/>
  <c r="D61" i="2"/>
  <c r="E61" i="2"/>
  <c r="C62" i="2"/>
  <c r="D62" i="2"/>
  <c r="E62" i="2"/>
  <c r="C63" i="2"/>
  <c r="D63" i="2"/>
  <c r="E63" i="2"/>
  <c r="C64" i="2"/>
  <c r="D64" i="2"/>
  <c r="E64" i="2"/>
  <c r="C65" i="2"/>
  <c r="D65" i="2"/>
  <c r="E65" i="2"/>
  <c r="C66" i="2"/>
  <c r="D66" i="2"/>
  <c r="E66" i="2"/>
  <c r="C67" i="2"/>
  <c r="D67" i="2"/>
  <c r="E67" i="2"/>
  <c r="C68" i="2"/>
  <c r="D68" i="2"/>
  <c r="E68" i="2"/>
  <c r="C69" i="2"/>
  <c r="D69" i="2"/>
  <c r="E69" i="2"/>
  <c r="C70" i="2"/>
  <c r="D70" i="2"/>
  <c r="E70" i="2"/>
  <c r="C71" i="2"/>
  <c r="D71" i="2"/>
  <c r="E71" i="2"/>
  <c r="C72" i="2"/>
  <c r="D72" i="2"/>
  <c r="E72" i="2"/>
  <c r="C73" i="2"/>
  <c r="D73" i="2"/>
  <c r="E73" i="2"/>
  <c r="C74" i="2"/>
  <c r="D74" i="2"/>
  <c r="E74" i="2"/>
  <c r="C75" i="2"/>
  <c r="D75" i="2"/>
  <c r="E75" i="2"/>
  <c r="C76" i="2"/>
  <c r="D76" i="2"/>
  <c r="E76" i="2"/>
  <c r="C77" i="2"/>
  <c r="D77" i="2"/>
  <c r="E77" i="2"/>
  <c r="C78" i="2"/>
  <c r="D78" i="2"/>
  <c r="E78" i="2"/>
  <c r="C79" i="2"/>
  <c r="D79" i="2"/>
  <c r="E79" i="2"/>
  <c r="C80" i="2"/>
  <c r="D80" i="2"/>
  <c r="E80" i="2"/>
  <c r="C81" i="2"/>
  <c r="D81" i="2"/>
  <c r="E81" i="2"/>
  <c r="C82" i="2"/>
  <c r="D82" i="2"/>
  <c r="E82" i="2"/>
  <c r="C83" i="2"/>
  <c r="D83" i="2"/>
  <c r="E83" i="2"/>
  <c r="C84" i="2"/>
  <c r="D84" i="2"/>
  <c r="E84" i="2"/>
  <c r="C85" i="2"/>
  <c r="D85" i="2"/>
  <c r="E85" i="2"/>
  <c r="C86" i="2"/>
  <c r="D86" i="2"/>
  <c r="E86" i="2"/>
  <c r="C87" i="2"/>
  <c r="D87" i="2"/>
  <c r="E87" i="2"/>
  <c r="C88" i="2"/>
  <c r="D88" i="2"/>
  <c r="E88" i="2"/>
  <c r="C89" i="2"/>
  <c r="D89" i="2"/>
  <c r="E89" i="2"/>
  <c r="C90" i="2"/>
  <c r="D90" i="2"/>
  <c r="E90" i="2"/>
  <c r="C91" i="2"/>
  <c r="D91" i="2"/>
  <c r="E91" i="2"/>
  <c r="C92" i="2"/>
  <c r="D92" i="2"/>
  <c r="E92" i="2"/>
  <c r="C93" i="2"/>
  <c r="D93" i="2"/>
  <c r="E93" i="2"/>
  <c r="C94" i="2"/>
  <c r="D94" i="2"/>
  <c r="E94" i="2"/>
  <c r="C95" i="2"/>
  <c r="D95" i="2"/>
  <c r="E95" i="2"/>
  <c r="C96" i="2"/>
  <c r="D96" i="2"/>
  <c r="E96" i="2"/>
  <c r="C97" i="2"/>
  <c r="D97" i="2"/>
  <c r="E97" i="2"/>
  <c r="C98" i="2"/>
  <c r="D98" i="2"/>
  <c r="E98" i="2"/>
  <c r="C99" i="2"/>
  <c r="D99" i="2"/>
  <c r="E99" i="2"/>
  <c r="C100" i="2"/>
  <c r="D100" i="2"/>
  <c r="E100" i="2"/>
  <c r="C101" i="2"/>
  <c r="D101" i="2"/>
  <c r="E101" i="2"/>
  <c r="C102" i="2"/>
  <c r="D102" i="2"/>
  <c r="E102" i="2"/>
  <c r="C103" i="2"/>
  <c r="D103" i="2"/>
  <c r="E103" i="2"/>
  <c r="C104" i="2"/>
  <c r="D104" i="2"/>
  <c r="E104" i="2"/>
  <c r="C105" i="2"/>
  <c r="D105" i="2"/>
  <c r="E105" i="2"/>
  <c r="C106" i="2"/>
  <c r="D106" i="2"/>
  <c r="E106" i="2"/>
  <c r="C107" i="2"/>
  <c r="D107" i="2"/>
  <c r="E107" i="2"/>
  <c r="C108" i="2"/>
  <c r="D108" i="2"/>
  <c r="E108" i="2"/>
  <c r="C109" i="2"/>
  <c r="D109" i="2"/>
  <c r="E109" i="2"/>
  <c r="C110" i="2"/>
  <c r="D110" i="2"/>
  <c r="E110" i="2"/>
  <c r="C111" i="2"/>
  <c r="D111" i="2"/>
  <c r="E111" i="2"/>
  <c r="C112" i="2"/>
  <c r="D112" i="2"/>
  <c r="E112" i="2"/>
  <c r="C113" i="2"/>
  <c r="D113" i="2"/>
  <c r="E113" i="2"/>
  <c r="C114" i="2"/>
  <c r="D114" i="2"/>
  <c r="E114" i="2"/>
  <c r="C115" i="2"/>
  <c r="D115" i="2"/>
  <c r="E115" i="2"/>
  <c r="C116" i="2"/>
  <c r="D116" i="2"/>
  <c r="E116" i="2"/>
  <c r="C117" i="2"/>
  <c r="D117" i="2"/>
  <c r="E117" i="2"/>
  <c r="C118" i="2"/>
  <c r="D118" i="2"/>
  <c r="E118" i="2"/>
  <c r="C119" i="2"/>
  <c r="D119" i="2"/>
  <c r="E119" i="2"/>
  <c r="C120" i="2"/>
  <c r="D120" i="2"/>
  <c r="E120" i="2"/>
  <c r="C121" i="2"/>
  <c r="D121" i="2"/>
  <c r="E121" i="2"/>
  <c r="C122" i="2"/>
  <c r="D122" i="2"/>
  <c r="E122" i="2"/>
  <c r="C123" i="2"/>
  <c r="D123" i="2"/>
  <c r="E123" i="2"/>
  <c r="C124" i="2"/>
  <c r="D124" i="2"/>
  <c r="E124" i="2"/>
  <c r="C125" i="2"/>
  <c r="D125" i="2"/>
  <c r="E125" i="2"/>
  <c r="C126" i="2"/>
  <c r="D126" i="2"/>
  <c r="E126" i="2"/>
  <c r="C127" i="2"/>
  <c r="D127" i="2"/>
  <c r="E127" i="2"/>
  <c r="C128" i="2"/>
  <c r="D128" i="2"/>
  <c r="E128" i="2"/>
  <c r="C129" i="2"/>
  <c r="D129" i="2"/>
  <c r="E129" i="2"/>
  <c r="C130" i="2"/>
  <c r="D130" i="2"/>
  <c r="E130" i="2"/>
  <c r="C131" i="2"/>
  <c r="D131" i="2"/>
  <c r="E131" i="2"/>
  <c r="C132" i="2"/>
  <c r="D132" i="2"/>
  <c r="E132" i="2"/>
  <c r="C133" i="2"/>
  <c r="D133" i="2"/>
  <c r="E133" i="2"/>
  <c r="C134" i="2"/>
  <c r="D134" i="2"/>
  <c r="E134" i="2"/>
  <c r="C135" i="2"/>
  <c r="D135" i="2"/>
  <c r="E135" i="2"/>
  <c r="C136" i="2"/>
  <c r="D136" i="2"/>
  <c r="E136" i="2"/>
  <c r="C137" i="2"/>
  <c r="D137" i="2"/>
  <c r="E137" i="2"/>
  <c r="C138" i="2"/>
  <c r="D138" i="2"/>
  <c r="E138" i="2"/>
  <c r="C139" i="2"/>
  <c r="D139" i="2"/>
  <c r="E139" i="2"/>
  <c r="C140" i="2"/>
  <c r="D140" i="2"/>
  <c r="E140" i="2"/>
  <c r="C141" i="2"/>
  <c r="D141" i="2"/>
  <c r="E141" i="2"/>
  <c r="C142" i="2"/>
  <c r="D142" i="2"/>
  <c r="E142" i="2"/>
  <c r="C143" i="2"/>
  <c r="D143" i="2"/>
  <c r="E143" i="2"/>
  <c r="C144" i="2"/>
  <c r="D144" i="2"/>
  <c r="E144" i="2"/>
  <c r="C145" i="2"/>
  <c r="D145" i="2"/>
  <c r="E145" i="2"/>
  <c r="C146" i="2"/>
  <c r="D146" i="2"/>
  <c r="E146" i="2"/>
  <c r="C147" i="2"/>
  <c r="D147" i="2"/>
  <c r="E147" i="2"/>
  <c r="C148" i="2"/>
  <c r="D148" i="2"/>
  <c r="E148" i="2"/>
  <c r="C149" i="2"/>
  <c r="D149" i="2"/>
  <c r="E149" i="2"/>
  <c r="C150" i="2"/>
  <c r="D150" i="2"/>
  <c r="E150" i="2"/>
  <c r="C151" i="2"/>
  <c r="D151" i="2"/>
  <c r="E151" i="2"/>
  <c r="C152" i="2"/>
  <c r="D152" i="2"/>
  <c r="E152" i="2"/>
  <c r="C153" i="2"/>
  <c r="D153" i="2"/>
  <c r="E153" i="2"/>
  <c r="C154" i="2"/>
  <c r="D154" i="2"/>
  <c r="E154" i="2"/>
  <c r="C155" i="2"/>
  <c r="D155" i="2"/>
  <c r="E155" i="2"/>
  <c r="C156" i="2"/>
  <c r="D156" i="2"/>
  <c r="E156" i="2"/>
  <c r="C157" i="2"/>
  <c r="D157" i="2"/>
  <c r="E157" i="2"/>
  <c r="C158" i="2"/>
  <c r="D158" i="2"/>
  <c r="E158" i="2"/>
  <c r="C159" i="2"/>
  <c r="D159" i="2"/>
  <c r="E159" i="2"/>
  <c r="C160" i="2"/>
  <c r="D160" i="2"/>
  <c r="E160" i="2"/>
  <c r="C161" i="2"/>
  <c r="D161" i="2"/>
  <c r="E161" i="2"/>
  <c r="C162" i="2"/>
  <c r="D162" i="2"/>
  <c r="E162" i="2"/>
  <c r="C163" i="2"/>
  <c r="D163" i="2"/>
  <c r="E163" i="2"/>
  <c r="C164" i="2"/>
  <c r="D164" i="2"/>
  <c r="E164" i="2"/>
  <c r="C165" i="2"/>
  <c r="D165" i="2"/>
  <c r="E165" i="2"/>
  <c r="C166" i="2"/>
  <c r="D166" i="2"/>
  <c r="E166" i="2"/>
  <c r="C167" i="2"/>
  <c r="D167" i="2"/>
  <c r="E167" i="2"/>
  <c r="C168" i="2"/>
  <c r="D168" i="2"/>
  <c r="E168" i="2"/>
  <c r="C169" i="2"/>
  <c r="D169" i="2"/>
  <c r="E169" i="2"/>
  <c r="C170" i="2"/>
  <c r="D170" i="2"/>
  <c r="E170" i="2"/>
  <c r="C171" i="2"/>
  <c r="D171" i="2"/>
  <c r="E171" i="2"/>
  <c r="C172" i="2"/>
  <c r="D172" i="2"/>
  <c r="E172" i="2"/>
  <c r="C173" i="2"/>
  <c r="D173" i="2"/>
  <c r="E173" i="2"/>
  <c r="C174" i="2"/>
  <c r="D174" i="2"/>
  <c r="E174" i="2"/>
  <c r="C175" i="2"/>
  <c r="D175" i="2"/>
  <c r="E175" i="2"/>
  <c r="C176" i="2"/>
  <c r="D176" i="2"/>
  <c r="E176" i="2"/>
  <c r="C177" i="2"/>
  <c r="D177" i="2"/>
  <c r="E177" i="2"/>
  <c r="C178" i="2"/>
  <c r="D178" i="2"/>
  <c r="E178" i="2"/>
  <c r="C179" i="2"/>
  <c r="D179" i="2"/>
  <c r="E179" i="2"/>
  <c r="C180" i="2"/>
  <c r="D180" i="2"/>
  <c r="E180" i="2"/>
  <c r="C181" i="2"/>
  <c r="D181" i="2"/>
  <c r="E181" i="2"/>
  <c r="C182" i="2"/>
  <c r="D182" i="2"/>
  <c r="E182" i="2"/>
  <c r="C183" i="2"/>
  <c r="D183" i="2"/>
  <c r="E183" i="2"/>
  <c r="C184" i="2"/>
  <c r="D184" i="2"/>
  <c r="E184" i="2"/>
  <c r="C185" i="2"/>
  <c r="D185" i="2"/>
  <c r="E185" i="2"/>
  <c r="C186" i="2"/>
  <c r="D186" i="2"/>
  <c r="E186" i="2"/>
  <c r="C187" i="2"/>
  <c r="D187" i="2"/>
  <c r="E187" i="2"/>
  <c r="C188" i="2"/>
  <c r="D188" i="2"/>
  <c r="E188" i="2"/>
  <c r="C189" i="2"/>
  <c r="D189" i="2"/>
  <c r="E189" i="2"/>
  <c r="C190" i="2"/>
  <c r="D190" i="2"/>
  <c r="E190" i="2"/>
  <c r="C191" i="2"/>
  <c r="D191" i="2"/>
  <c r="E191" i="2"/>
  <c r="C192" i="2"/>
  <c r="D192" i="2"/>
  <c r="E192" i="2"/>
  <c r="C193" i="2"/>
  <c r="D193" i="2"/>
  <c r="E193" i="2"/>
  <c r="C194" i="2"/>
  <c r="D194" i="2"/>
  <c r="E194" i="2"/>
  <c r="C195" i="2"/>
  <c r="D195" i="2"/>
  <c r="E195" i="2"/>
  <c r="C196" i="2"/>
  <c r="D196" i="2"/>
  <c r="E196" i="2"/>
  <c r="C197" i="2"/>
  <c r="D197" i="2"/>
  <c r="E197" i="2"/>
  <c r="C198" i="2"/>
  <c r="D198" i="2"/>
  <c r="E198" i="2"/>
  <c r="C199" i="2"/>
  <c r="D199" i="2"/>
  <c r="E199" i="2"/>
  <c r="C200" i="2"/>
  <c r="D200" i="2"/>
  <c r="E200" i="2"/>
  <c r="C201" i="2"/>
  <c r="D201" i="2"/>
  <c r="E201" i="2"/>
  <c r="C202" i="2"/>
  <c r="D202" i="2"/>
  <c r="E202" i="2"/>
  <c r="C203" i="2"/>
  <c r="D203" i="2"/>
  <c r="E203" i="2"/>
  <c r="C204" i="2"/>
  <c r="D204" i="2"/>
  <c r="E204" i="2"/>
  <c r="C205" i="2"/>
  <c r="D205" i="2"/>
  <c r="E205" i="2"/>
  <c r="C206" i="2"/>
  <c r="D206" i="2"/>
  <c r="E206" i="2"/>
  <c r="C207" i="2"/>
  <c r="D207" i="2"/>
  <c r="E207" i="2"/>
  <c r="C208" i="2"/>
  <c r="D208" i="2"/>
  <c r="E208" i="2"/>
  <c r="C209" i="2"/>
  <c r="D209" i="2"/>
  <c r="E209" i="2"/>
  <c r="C210" i="2"/>
  <c r="D210" i="2"/>
  <c r="E210" i="2"/>
  <c r="C211" i="2"/>
  <c r="D211" i="2"/>
  <c r="E211" i="2"/>
  <c r="C212" i="2"/>
  <c r="D212" i="2"/>
  <c r="E212" i="2"/>
  <c r="C213" i="2"/>
  <c r="D213" i="2"/>
  <c r="E213" i="2"/>
  <c r="C214" i="2"/>
  <c r="D214" i="2"/>
  <c r="E214" i="2"/>
  <c r="C215" i="2"/>
  <c r="D215" i="2"/>
  <c r="E215" i="2"/>
  <c r="C216" i="2"/>
  <c r="D216" i="2"/>
  <c r="E216" i="2"/>
  <c r="C217" i="2"/>
  <c r="D217" i="2"/>
  <c r="E217" i="2"/>
  <c r="C218" i="2"/>
  <c r="D218" i="2"/>
  <c r="E218" i="2"/>
  <c r="C219" i="2"/>
  <c r="D219" i="2"/>
  <c r="E219" i="2"/>
  <c r="C220" i="2"/>
  <c r="D220" i="2"/>
  <c r="E220" i="2"/>
  <c r="C221" i="2"/>
  <c r="D221" i="2"/>
  <c r="E221" i="2"/>
  <c r="C222" i="2"/>
  <c r="D222" i="2"/>
  <c r="E222" i="2"/>
  <c r="C223" i="2"/>
  <c r="D223" i="2"/>
  <c r="E223" i="2"/>
  <c r="C224" i="2"/>
  <c r="D224" i="2"/>
  <c r="E224" i="2"/>
  <c r="C225" i="2"/>
  <c r="D225" i="2"/>
  <c r="E225" i="2"/>
  <c r="C226" i="2"/>
  <c r="D226" i="2"/>
  <c r="E226" i="2"/>
  <c r="C227" i="2"/>
  <c r="D227" i="2"/>
  <c r="E227" i="2"/>
  <c r="C228" i="2"/>
  <c r="D228" i="2"/>
  <c r="E228" i="2"/>
  <c r="C229" i="2"/>
  <c r="D229" i="2"/>
  <c r="E229" i="2"/>
  <c r="C230" i="2"/>
  <c r="D230" i="2"/>
  <c r="E230" i="2"/>
  <c r="C231" i="2"/>
  <c r="D231" i="2"/>
  <c r="E231" i="2"/>
  <c r="C232" i="2"/>
  <c r="D232" i="2"/>
  <c r="E232" i="2"/>
  <c r="C233" i="2"/>
  <c r="D233" i="2"/>
  <c r="E233" i="2"/>
  <c r="C234" i="2"/>
  <c r="D234" i="2"/>
  <c r="E234" i="2"/>
  <c r="C235" i="2"/>
  <c r="D235" i="2"/>
  <c r="E235" i="2"/>
  <c r="C236" i="2"/>
  <c r="D236" i="2"/>
  <c r="E236" i="2"/>
  <c r="C237" i="2"/>
  <c r="D237" i="2"/>
  <c r="E237" i="2"/>
  <c r="C238" i="2"/>
  <c r="D238" i="2"/>
  <c r="E238" i="2"/>
  <c r="C239" i="2"/>
  <c r="D239" i="2"/>
  <c r="E239" i="2"/>
  <c r="C240" i="2"/>
  <c r="D240" i="2"/>
  <c r="E240" i="2"/>
  <c r="C241" i="2"/>
  <c r="D241" i="2"/>
  <c r="E241" i="2"/>
  <c r="C242" i="2"/>
  <c r="D242" i="2"/>
  <c r="E242" i="2"/>
  <c r="C243" i="2"/>
  <c r="D243" i="2"/>
  <c r="E243" i="2"/>
  <c r="C244" i="2"/>
  <c r="D244" i="2"/>
  <c r="E244" i="2"/>
  <c r="C245" i="2"/>
  <c r="D245" i="2"/>
  <c r="E245" i="2"/>
  <c r="C246" i="2"/>
  <c r="D246" i="2"/>
  <c r="E246" i="2"/>
  <c r="C247" i="2"/>
  <c r="D247" i="2"/>
  <c r="E247" i="2"/>
  <c r="C248" i="2"/>
  <c r="D248" i="2"/>
  <c r="E248" i="2"/>
  <c r="C249" i="2"/>
  <c r="D249" i="2"/>
  <c r="E249" i="2"/>
  <c r="C250" i="2"/>
  <c r="D250" i="2"/>
  <c r="E250" i="2"/>
  <c r="C251" i="2"/>
  <c r="D251" i="2"/>
  <c r="E251" i="2"/>
  <c r="C252" i="2"/>
  <c r="D252" i="2"/>
  <c r="E252" i="2"/>
  <c r="C253" i="2"/>
  <c r="D253" i="2"/>
  <c r="E253" i="2"/>
  <c r="C254" i="2"/>
  <c r="D254" i="2"/>
  <c r="E254" i="2"/>
  <c r="C255" i="2"/>
  <c r="D255" i="2"/>
  <c r="E255" i="2"/>
  <c r="C256" i="2"/>
  <c r="D256" i="2"/>
  <c r="E256" i="2"/>
  <c r="C257" i="2"/>
  <c r="D257" i="2"/>
  <c r="E257" i="2"/>
  <c r="C258" i="2"/>
  <c r="D258" i="2"/>
  <c r="E258" i="2"/>
  <c r="C259" i="2"/>
  <c r="D259" i="2"/>
  <c r="E259" i="2"/>
  <c r="C260" i="2"/>
  <c r="D260" i="2"/>
  <c r="E260" i="2"/>
  <c r="C261" i="2"/>
  <c r="D261" i="2"/>
  <c r="E261" i="2"/>
  <c r="C262" i="2"/>
  <c r="D262" i="2"/>
  <c r="E262" i="2"/>
  <c r="C263" i="2"/>
  <c r="D263" i="2"/>
  <c r="E263" i="2"/>
  <c r="C264" i="2"/>
  <c r="D264" i="2"/>
  <c r="E264" i="2"/>
  <c r="C265" i="2"/>
  <c r="D265" i="2"/>
  <c r="E265" i="2"/>
  <c r="C266" i="2"/>
  <c r="D266" i="2"/>
  <c r="E266" i="2"/>
  <c r="C267" i="2"/>
  <c r="D267" i="2"/>
  <c r="E267" i="2"/>
  <c r="C268" i="2"/>
  <c r="D268" i="2"/>
  <c r="E268" i="2"/>
  <c r="C269" i="2"/>
  <c r="D269" i="2"/>
  <c r="E269" i="2"/>
  <c r="C270" i="2"/>
  <c r="D270" i="2"/>
  <c r="E270" i="2"/>
  <c r="C271" i="2"/>
  <c r="D271" i="2"/>
  <c r="E271" i="2"/>
  <c r="C272" i="2"/>
  <c r="D272" i="2"/>
  <c r="E272" i="2"/>
  <c r="C273" i="2"/>
  <c r="D273" i="2"/>
  <c r="E273" i="2"/>
  <c r="C274" i="2"/>
  <c r="D274" i="2"/>
  <c r="E274" i="2"/>
  <c r="C275" i="2"/>
  <c r="D275" i="2"/>
  <c r="E275" i="2"/>
  <c r="C276" i="2"/>
  <c r="D276" i="2"/>
  <c r="E276" i="2"/>
  <c r="C277" i="2"/>
  <c r="D277" i="2"/>
  <c r="E277" i="2"/>
  <c r="C278" i="2"/>
  <c r="D278" i="2"/>
  <c r="E278" i="2"/>
  <c r="C279" i="2"/>
  <c r="D279" i="2"/>
  <c r="E279" i="2"/>
  <c r="C280" i="2"/>
  <c r="D280" i="2"/>
  <c r="E280" i="2"/>
  <c r="C281" i="2"/>
  <c r="D281" i="2"/>
  <c r="E281" i="2"/>
  <c r="C282" i="2"/>
  <c r="D282" i="2"/>
  <c r="E282" i="2"/>
  <c r="C283" i="2"/>
  <c r="D283" i="2"/>
  <c r="E283" i="2"/>
  <c r="C284" i="2"/>
  <c r="D284" i="2"/>
  <c r="E284" i="2"/>
  <c r="C285" i="2"/>
  <c r="D285" i="2"/>
  <c r="E285" i="2"/>
  <c r="C286" i="2"/>
  <c r="D286" i="2"/>
  <c r="E286" i="2"/>
  <c r="C287" i="2"/>
  <c r="D287" i="2"/>
  <c r="E287" i="2"/>
  <c r="C288" i="2"/>
  <c r="D288" i="2"/>
  <c r="E288" i="2"/>
  <c r="C289" i="2"/>
  <c r="D289" i="2"/>
  <c r="E289" i="2"/>
  <c r="C290" i="2"/>
  <c r="D290" i="2"/>
  <c r="E290" i="2"/>
  <c r="C291" i="2"/>
  <c r="D291" i="2"/>
  <c r="E291" i="2"/>
  <c r="C292" i="2"/>
  <c r="D292" i="2"/>
  <c r="E292" i="2"/>
  <c r="C293" i="2"/>
  <c r="D293" i="2"/>
  <c r="E293" i="2"/>
  <c r="C294" i="2"/>
  <c r="D294" i="2"/>
  <c r="E294" i="2"/>
  <c r="C295" i="2"/>
  <c r="D295" i="2"/>
  <c r="E295" i="2"/>
  <c r="C296" i="2"/>
  <c r="D296" i="2"/>
  <c r="E296" i="2"/>
  <c r="C297" i="2"/>
  <c r="D297" i="2"/>
  <c r="E297" i="2"/>
  <c r="C298" i="2"/>
  <c r="D298" i="2"/>
  <c r="E298" i="2"/>
  <c r="C299" i="2"/>
  <c r="D299" i="2"/>
  <c r="E299" i="2"/>
  <c r="C300" i="2"/>
  <c r="D300" i="2"/>
  <c r="E300" i="2"/>
  <c r="C301" i="2"/>
  <c r="D301" i="2"/>
  <c r="E301" i="2"/>
  <c r="C302" i="2"/>
  <c r="D302" i="2"/>
  <c r="E302" i="2"/>
  <c r="C303" i="2"/>
  <c r="D303" i="2"/>
  <c r="E303" i="2"/>
  <c r="C304" i="2"/>
  <c r="D304" i="2"/>
  <c r="E304" i="2"/>
  <c r="C305" i="2"/>
  <c r="D305" i="2"/>
  <c r="E305" i="2"/>
  <c r="C306" i="2"/>
  <c r="D306" i="2"/>
  <c r="E306" i="2"/>
  <c r="C307" i="2"/>
  <c r="D307" i="2"/>
  <c r="E307" i="2"/>
  <c r="C308" i="2"/>
  <c r="D308" i="2"/>
  <c r="E308" i="2"/>
  <c r="C309" i="2"/>
  <c r="D309" i="2"/>
  <c r="E309" i="2"/>
  <c r="C310" i="2"/>
  <c r="D310" i="2"/>
  <c r="E310" i="2"/>
  <c r="C311" i="2"/>
  <c r="D311" i="2"/>
  <c r="E311" i="2"/>
  <c r="C312" i="2"/>
  <c r="D312" i="2"/>
  <c r="E312" i="2"/>
  <c r="C313" i="2"/>
  <c r="D313" i="2"/>
  <c r="E313" i="2"/>
  <c r="C314" i="2"/>
  <c r="D314" i="2"/>
  <c r="E314" i="2"/>
  <c r="C315" i="2"/>
  <c r="D315" i="2"/>
  <c r="E315" i="2"/>
  <c r="C316" i="2"/>
  <c r="D316" i="2"/>
  <c r="E316" i="2"/>
  <c r="C317" i="2"/>
  <c r="D317" i="2"/>
  <c r="E317" i="2"/>
  <c r="C318" i="2"/>
  <c r="D318" i="2"/>
  <c r="E318" i="2"/>
  <c r="C319" i="2"/>
  <c r="D319" i="2"/>
  <c r="E319" i="2"/>
  <c r="C320" i="2"/>
  <c r="D320" i="2"/>
  <c r="E320" i="2"/>
  <c r="C321" i="2"/>
  <c r="D321" i="2"/>
  <c r="E321" i="2"/>
  <c r="C322" i="2"/>
  <c r="D322" i="2"/>
  <c r="E322" i="2"/>
  <c r="C323" i="2"/>
  <c r="D323" i="2"/>
  <c r="E323" i="2"/>
  <c r="C324" i="2"/>
  <c r="D324" i="2"/>
  <c r="E324" i="2"/>
  <c r="C325" i="2"/>
  <c r="D325" i="2"/>
  <c r="E325" i="2"/>
  <c r="C326" i="2"/>
  <c r="D326" i="2"/>
  <c r="E326" i="2"/>
  <c r="C327" i="2"/>
  <c r="D327" i="2"/>
  <c r="E327" i="2"/>
  <c r="C328" i="2"/>
  <c r="D328" i="2"/>
  <c r="E328" i="2"/>
  <c r="C329" i="2"/>
  <c r="D329" i="2"/>
  <c r="E329" i="2"/>
  <c r="C330" i="2"/>
  <c r="D330" i="2"/>
  <c r="E330" i="2"/>
  <c r="C331" i="2"/>
  <c r="D331" i="2"/>
  <c r="E331" i="2"/>
  <c r="C332" i="2"/>
  <c r="D332" i="2"/>
  <c r="E332" i="2"/>
  <c r="C333" i="2"/>
  <c r="D333" i="2"/>
  <c r="E333" i="2"/>
  <c r="C334" i="2"/>
  <c r="D334" i="2"/>
  <c r="E334" i="2"/>
  <c r="C335" i="2"/>
  <c r="D335" i="2"/>
  <c r="E335" i="2"/>
  <c r="C336" i="2"/>
  <c r="D336" i="2"/>
  <c r="E336" i="2"/>
  <c r="C337" i="2"/>
  <c r="D337" i="2"/>
  <c r="E337" i="2"/>
  <c r="C338" i="2"/>
  <c r="D338" i="2"/>
  <c r="E338" i="2"/>
  <c r="C339" i="2"/>
  <c r="D339" i="2"/>
  <c r="E339" i="2"/>
  <c r="C340" i="2"/>
  <c r="D340" i="2"/>
  <c r="E340" i="2"/>
  <c r="C341" i="2"/>
  <c r="D341" i="2"/>
  <c r="E341" i="2"/>
  <c r="C342" i="2"/>
  <c r="D342" i="2"/>
  <c r="E342" i="2"/>
  <c r="C343" i="2"/>
  <c r="D343" i="2"/>
  <c r="E343" i="2"/>
  <c r="C344" i="2"/>
  <c r="D344" i="2"/>
  <c r="E344" i="2"/>
  <c r="C345" i="2"/>
  <c r="D345" i="2"/>
  <c r="E345" i="2"/>
  <c r="C346" i="2"/>
  <c r="D346" i="2"/>
  <c r="E346" i="2"/>
  <c r="C347" i="2"/>
  <c r="D347" i="2"/>
  <c r="E347" i="2"/>
  <c r="C348" i="2"/>
  <c r="D348" i="2"/>
  <c r="E348" i="2"/>
  <c r="C349" i="2"/>
  <c r="D349" i="2"/>
  <c r="E349" i="2"/>
  <c r="C350" i="2"/>
  <c r="D350" i="2"/>
  <c r="E350" i="2"/>
  <c r="C351" i="2"/>
  <c r="D351" i="2"/>
  <c r="E351" i="2"/>
  <c r="C352" i="2"/>
  <c r="D352" i="2"/>
  <c r="E352" i="2"/>
  <c r="C353" i="2"/>
  <c r="D353" i="2"/>
  <c r="E353" i="2"/>
  <c r="C354" i="2"/>
  <c r="D354" i="2"/>
  <c r="E354" i="2"/>
  <c r="C355" i="2"/>
  <c r="D355" i="2"/>
  <c r="E355" i="2"/>
  <c r="C356" i="2"/>
  <c r="D356" i="2"/>
  <c r="E356" i="2"/>
  <c r="C357" i="2"/>
  <c r="D357" i="2"/>
  <c r="E357" i="2"/>
  <c r="C358" i="2"/>
  <c r="D358" i="2"/>
  <c r="E358" i="2"/>
  <c r="C359" i="2"/>
  <c r="D359" i="2"/>
  <c r="E359" i="2"/>
  <c r="C360" i="2"/>
  <c r="D360" i="2"/>
  <c r="E360" i="2"/>
  <c r="C361" i="2"/>
  <c r="D361" i="2"/>
  <c r="E361" i="2"/>
  <c r="C362" i="2"/>
  <c r="D362" i="2"/>
  <c r="E362" i="2"/>
</calcChain>
</file>

<file path=xl/sharedStrings.xml><?xml version="1.0" encoding="utf-8"?>
<sst xmlns="http://schemas.openxmlformats.org/spreadsheetml/2006/main" count="172" uniqueCount="135">
  <si>
    <t>NOI</t>
  </si>
  <si>
    <t>Purchase price</t>
  </si>
  <si>
    <t>NOI YR1</t>
  </si>
  <si>
    <t>Growth rate</t>
  </si>
  <si>
    <t>Depreciation basis</t>
  </si>
  <si>
    <t>Mortgage Loan</t>
  </si>
  <si>
    <t>Interest Rate</t>
  </si>
  <si>
    <t>Maturity</t>
  </si>
  <si>
    <t>Selling price</t>
  </si>
  <si>
    <t>Selling expense</t>
  </si>
  <si>
    <t>AT required return</t>
  </si>
  <si>
    <t>Income tax</t>
  </si>
  <si>
    <t>CG tax</t>
  </si>
  <si>
    <t>RDEP tax</t>
  </si>
  <si>
    <t>YR 1</t>
  </si>
  <si>
    <t>YR 2</t>
  </si>
  <si>
    <t>YR 3</t>
  </si>
  <si>
    <t>YR 4</t>
  </si>
  <si>
    <t>Depreciation</t>
  </si>
  <si>
    <t>Deprecation yrs:</t>
  </si>
  <si>
    <t>Interest expense</t>
  </si>
  <si>
    <t>Taxable Income</t>
  </si>
  <si>
    <t>PMT</t>
  </si>
  <si>
    <t>Period</t>
  </si>
  <si>
    <t>INT</t>
  </si>
  <si>
    <t>AMORT PP</t>
  </si>
  <si>
    <t>Mortgage Balance</t>
  </si>
  <si>
    <t>ATCF</t>
  </si>
  <si>
    <t>DS</t>
  </si>
  <si>
    <t>Income Tax</t>
  </si>
  <si>
    <t>NSP</t>
  </si>
  <si>
    <t>ATER</t>
  </si>
  <si>
    <t>AFTER TAX CASH FLOWS</t>
  </si>
  <si>
    <t>AFTER TAX EQUITY REVERSION</t>
  </si>
  <si>
    <t>Capital Gain</t>
  </si>
  <si>
    <t>CG Tax</t>
  </si>
  <si>
    <t>Accumated depreciation</t>
  </si>
  <si>
    <t>RDEP Tax</t>
  </si>
  <si>
    <t>Mortgage balance</t>
  </si>
  <si>
    <t>ATCFs</t>
  </si>
  <si>
    <t>NPV at 14%</t>
  </si>
  <si>
    <t>NVP IS POSITIVE.  THEREFORE, DO PROJECT!</t>
  </si>
  <si>
    <t>NVP at 18%</t>
  </si>
  <si>
    <t>IRR</t>
  </si>
  <si>
    <t xml:space="preserve">YR 0 </t>
  </si>
  <si>
    <t xml:space="preserve">PV ATCFs at 14% </t>
  </si>
  <si>
    <t>YR 0</t>
  </si>
  <si>
    <t>Equity Investment (I)</t>
  </si>
  <si>
    <t>NPV CALCULATIONS:</t>
  </si>
  <si>
    <t>IRR CALCULATIONS:</t>
  </si>
  <si>
    <t xml:space="preserve">  </t>
  </si>
  <si>
    <t>DON'T DO IT</t>
  </si>
  <si>
    <t>YEAR 1</t>
  </si>
  <si>
    <t>YEAR 2</t>
  </si>
  <si>
    <t>YEAR 3</t>
  </si>
  <si>
    <t>YEAR 4</t>
  </si>
  <si>
    <t>Data Input Box:</t>
  </si>
  <si>
    <t>Purchase</t>
  </si>
  <si>
    <t>Tax Considerations:</t>
  </si>
  <si>
    <t>NOI year 1</t>
  </si>
  <si>
    <t>Building Value</t>
  </si>
  <si>
    <t>Growth-NOI</t>
  </si>
  <si>
    <t>years</t>
  </si>
  <si>
    <t>Loan-to-Value</t>
  </si>
  <si>
    <t>Tax rate</t>
  </si>
  <si>
    <t>Loan Interest (Payment)</t>
  </si>
  <si>
    <t>Loan Interest (Accural)</t>
  </si>
  <si>
    <t>Loan Amortization Term</t>
  </si>
  <si>
    <t>Loan Due</t>
  </si>
  <si>
    <t>Payments per year</t>
  </si>
  <si>
    <t>Equity Participation</t>
  </si>
  <si>
    <t>of NOI</t>
  </si>
  <si>
    <t>Partic. on Excess over</t>
  </si>
  <si>
    <t>of sales gain</t>
  </si>
  <si>
    <t>Land Lease Payment</t>
  </si>
  <si>
    <t>Appreciation rate</t>
  </si>
  <si>
    <t>Lender's Equity Ownership</t>
  </si>
  <si>
    <t>Holding Period</t>
  </si>
  <si>
    <t>Selling costs</t>
  </si>
  <si>
    <t>of sale price</t>
  </si>
  <si>
    <t>Equity</t>
  </si>
  <si>
    <t>Loan</t>
  </si>
  <si>
    <t>Annual Loan Payment</t>
  </si>
  <si>
    <t>Annual Accrual Amount</t>
  </si>
  <si>
    <t>year</t>
  </si>
  <si>
    <t>SUMMARY LOAN INFORMATION:</t>
  </si>
  <si>
    <t>End of Year</t>
  </si>
  <si>
    <t>Payment</t>
  </si>
  <si>
    <t>Interest</t>
  </si>
  <si>
    <t>SUMMARY CASH FLOW INFORMATION:</t>
  </si>
  <si>
    <t>Year</t>
  </si>
  <si>
    <t>Less Debt Service</t>
  </si>
  <si>
    <t>Less Land Lease Payment</t>
  </si>
  <si>
    <t>Before-tax Cash Flow</t>
  </si>
  <si>
    <t>Before-Tax Cash Flow</t>
  </si>
  <si>
    <t>Less: Interest</t>
  </si>
  <si>
    <t xml:space="preserve">         Depreciation</t>
  </si>
  <si>
    <t xml:space="preserve">         Participation</t>
  </si>
  <si>
    <t>Tax (Savings)</t>
  </si>
  <si>
    <t>After-Tax Cash Flow</t>
  </si>
  <si>
    <t>CASH FLOW FROM SALE:</t>
  </si>
  <si>
    <t>Sale Price</t>
  </si>
  <si>
    <t>Sales costs</t>
  </si>
  <si>
    <t>Participation in Gain</t>
  </si>
  <si>
    <t>Before-tax cash flow</t>
  </si>
  <si>
    <t>Sales Costs</t>
  </si>
  <si>
    <t>Participation</t>
  </si>
  <si>
    <t>Original Cost Basis</t>
  </si>
  <si>
    <t>Accumulated Depreciation</t>
  </si>
  <si>
    <t>Adjusted Basis</t>
  </si>
  <si>
    <t>Tax from Sale</t>
  </si>
  <si>
    <t>After-Tax Cash Flow from Sale</t>
  </si>
  <si>
    <t>EQUITY ANALYSIS:</t>
  </si>
  <si>
    <t>BTCF after Participation</t>
  </si>
  <si>
    <t>BTIRR on Equity</t>
  </si>
  <si>
    <t>ATIRR on Equity</t>
  </si>
  <si>
    <t>Effective Tax Rate</t>
  </si>
  <si>
    <t>PROPERTY ANALYSIS:</t>
  </si>
  <si>
    <t>BTIRR on Property</t>
  </si>
  <si>
    <t>ATCF-no loan</t>
  </si>
  <si>
    <t>ATIRR on Property</t>
  </si>
  <si>
    <t>Lender's Yield:</t>
  </si>
  <si>
    <t>Debt service</t>
  </si>
  <si>
    <t>Loan balance</t>
  </si>
  <si>
    <t>Loan amount</t>
  </si>
  <si>
    <t>Cash flows to lender</t>
  </si>
  <si>
    <t>Lender's IRR</t>
  </si>
  <si>
    <t>Calculation of Lender's IRR:</t>
  </si>
  <si>
    <t>Month</t>
  </si>
  <si>
    <t>Cash flow</t>
  </si>
  <si>
    <t>Principal amortization</t>
  </si>
  <si>
    <t>LEVERAGE EXAMPLE</t>
  </si>
  <si>
    <t>Investment horizon</t>
  </si>
  <si>
    <t>4 years</t>
  </si>
  <si>
    <t>NOI*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</si>
</sst>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_);[Red]\(&quot;$&quot;#,##0\)"/>
    <numFmt numFmtId="165" formatCode="&quot;$&quot;#,##0.00_);[Red]\(&quot;$&quot;#,##0.00\)"/>
    <numFmt numFmtId="166" formatCode="0.00_);[Red]\(0.00\)"/>
    <numFmt numFmtId="167" formatCode="&quot;$&quot;#,##0.00"/>
    <numFmt numFmtId="168" formatCode="0_)"/>
    <numFmt numFmtId="169" formatCode="0.00_)"/>
    <numFmt numFmtId="170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165" fontId="0" fillId="0" borderId="0" xfId="0" applyNumberFormat="1"/>
    <xf numFmtId="166" fontId="0" fillId="0" borderId="0" xfId="0" applyNumberFormat="1"/>
    <xf numFmtId="38" fontId="0" fillId="0" borderId="0" xfId="0" applyNumberFormat="1"/>
    <xf numFmtId="38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38" fontId="1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167" fontId="0" fillId="0" borderId="0" xfId="0" applyNumberFormat="1"/>
    <xf numFmtId="0" fontId="0" fillId="0" borderId="1" xfId="0" applyBorder="1"/>
    <xf numFmtId="167" fontId="0" fillId="0" borderId="1" xfId="0" applyNumberFormat="1" applyBorder="1"/>
    <xf numFmtId="9" fontId="0" fillId="0" borderId="1" xfId="0" applyNumberFormat="1" applyBorder="1"/>
    <xf numFmtId="1" fontId="0" fillId="0" borderId="1" xfId="0" applyNumberFormat="1" applyBorder="1"/>
    <xf numFmtId="0" fontId="0" fillId="0" borderId="2" xfId="0" applyBorder="1"/>
    <xf numFmtId="0" fontId="0" fillId="0" borderId="0" xfId="0" applyBorder="1"/>
    <xf numFmtId="38" fontId="0" fillId="0" borderId="0" xfId="0" applyNumberFormat="1" applyBorder="1" applyAlignment="1">
      <alignment horizontal="right"/>
    </xf>
    <xf numFmtId="0" fontId="1" fillId="0" borderId="4" xfId="0" applyFont="1" applyBorder="1"/>
    <xf numFmtId="38" fontId="0" fillId="0" borderId="2" xfId="0" applyNumberFormat="1" applyBorder="1" applyAlignment="1">
      <alignment horizontal="right"/>
    </xf>
    <xf numFmtId="0" fontId="1" fillId="0" borderId="3" xfId="0" applyFont="1" applyBorder="1"/>
    <xf numFmtId="38" fontId="1" fillId="0" borderId="3" xfId="0" applyNumberFormat="1" applyFont="1" applyBorder="1" applyAlignment="1">
      <alignment horizontal="right"/>
    </xf>
    <xf numFmtId="0" fontId="0" fillId="0" borderId="4" xfId="0" applyBorder="1"/>
    <xf numFmtId="0" fontId="0" fillId="0" borderId="3" xfId="0" applyBorder="1"/>
    <xf numFmtId="38" fontId="0" fillId="0" borderId="3" xfId="0" applyNumberFormat="1" applyBorder="1"/>
    <xf numFmtId="38" fontId="1" fillId="0" borderId="3" xfId="0" applyNumberFormat="1" applyFont="1" applyBorder="1"/>
    <xf numFmtId="0" fontId="1" fillId="0" borderId="3" xfId="0" applyFont="1" applyBorder="1" applyAlignment="1">
      <alignment horizontal="center"/>
    </xf>
    <xf numFmtId="38" fontId="1" fillId="0" borderId="4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38" fontId="0" fillId="0" borderId="0" xfId="0" applyNumberFormat="1" applyBorder="1"/>
    <xf numFmtId="38" fontId="0" fillId="0" borderId="2" xfId="0" applyNumberFormat="1" applyBorder="1"/>
    <xf numFmtId="49" fontId="3" fillId="0" borderId="8" xfId="0" applyNumberFormat="1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9" xfId="0" applyFont="1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0" fontId="3" fillId="0" borderId="0" xfId="0" applyNumberFormat="1" applyFont="1" applyBorder="1" applyProtection="1"/>
    <xf numFmtId="49" fontId="4" fillId="0" borderId="16" xfId="0" applyNumberFormat="1" applyFont="1" applyBorder="1" applyAlignment="1">
      <alignment horizontal="left"/>
    </xf>
    <xf numFmtId="164" fontId="4" fillId="0" borderId="11" xfId="0" applyNumberFormat="1" applyFont="1" applyBorder="1" applyProtection="1"/>
    <xf numFmtId="37" fontId="4" fillId="0" borderId="11" xfId="0" applyNumberFormat="1" applyFont="1" applyBorder="1" applyProtection="1"/>
    <xf numFmtId="37" fontId="4" fillId="0" borderId="12" xfId="0" applyNumberFormat="1" applyFont="1" applyBorder="1" applyProtection="1"/>
    <xf numFmtId="49" fontId="4" fillId="0" borderId="8" xfId="0" applyNumberFormat="1" applyFont="1" applyBorder="1" applyAlignment="1">
      <alignment horizontal="left"/>
    </xf>
    <xf numFmtId="38" fontId="4" fillId="0" borderId="0" xfId="0" applyNumberFormat="1" applyFont="1" applyBorder="1" applyProtection="1"/>
    <xf numFmtId="37" fontId="4" fillId="0" borderId="0" xfId="0" applyNumberFormat="1" applyFont="1" applyBorder="1" applyProtection="1"/>
    <xf numFmtId="37" fontId="4" fillId="0" borderId="9" xfId="0" applyNumberFormat="1" applyFont="1" applyBorder="1" applyProtection="1"/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right"/>
    </xf>
    <xf numFmtId="0" fontId="4" fillId="0" borderId="15" xfId="0" applyNumberFormat="1" applyFont="1" applyBorder="1"/>
    <xf numFmtId="49" fontId="4" fillId="0" borderId="8" xfId="0" applyNumberFormat="1" applyFont="1" applyBorder="1"/>
    <xf numFmtId="38" fontId="4" fillId="0" borderId="9" xfId="0" applyNumberFormat="1" applyFont="1" applyBorder="1" applyProtection="1"/>
    <xf numFmtId="37" fontId="4" fillId="0" borderId="14" xfId="0" applyNumberFormat="1" applyFont="1" applyBorder="1" applyProtection="1"/>
    <xf numFmtId="37" fontId="4" fillId="0" borderId="15" xfId="0" applyNumberFormat="1" applyFont="1" applyBorder="1" applyProtection="1"/>
    <xf numFmtId="0" fontId="4" fillId="0" borderId="8" xfId="0" applyFont="1" applyBorder="1"/>
    <xf numFmtId="49" fontId="3" fillId="0" borderId="8" xfId="0" applyNumberFormat="1" applyFont="1" applyBorder="1" applyAlignment="1">
      <alignment horizontal="left"/>
    </xf>
    <xf numFmtId="38" fontId="3" fillId="0" borderId="17" xfId="0" applyNumberFormat="1" applyFont="1" applyBorder="1" applyProtection="1"/>
    <xf numFmtId="38" fontId="3" fillId="0" borderId="18" xfId="0" applyNumberFormat="1" applyFont="1" applyBorder="1" applyProtection="1"/>
    <xf numFmtId="49" fontId="3" fillId="0" borderId="13" xfId="0" applyNumberFormat="1" applyFont="1" applyBorder="1" applyAlignment="1">
      <alignment horizontal="left"/>
    </xf>
    <xf numFmtId="38" fontId="3" fillId="0" borderId="19" xfId="0" applyNumberFormat="1" applyFont="1" applyBorder="1" applyProtection="1"/>
    <xf numFmtId="38" fontId="3" fillId="0" borderId="20" xfId="0" applyNumberFormat="1" applyFont="1" applyBorder="1" applyProtection="1"/>
    <xf numFmtId="38" fontId="3" fillId="0" borderId="0" xfId="0" applyNumberFormat="1" applyFont="1" applyBorder="1" applyProtection="1"/>
    <xf numFmtId="49" fontId="4" fillId="0" borderId="21" xfId="0" applyNumberFormat="1" applyFont="1" applyBorder="1"/>
    <xf numFmtId="38" fontId="4" fillId="0" borderId="4" xfId="0" applyNumberFormat="1" applyFont="1" applyBorder="1"/>
    <xf numFmtId="38" fontId="4" fillId="0" borderId="0" xfId="0" applyNumberFormat="1" applyFont="1" applyBorder="1"/>
    <xf numFmtId="38" fontId="4" fillId="0" borderId="22" xfId="0" applyNumberFormat="1" applyFont="1" applyBorder="1" applyProtection="1"/>
    <xf numFmtId="38" fontId="4" fillId="0" borderId="9" xfId="0" applyNumberFormat="1" applyFont="1" applyBorder="1"/>
    <xf numFmtId="38" fontId="4" fillId="0" borderId="4" xfId="0" applyNumberFormat="1" applyFont="1" applyBorder="1" applyProtection="1"/>
    <xf numFmtId="38" fontId="3" fillId="0" borderId="14" xfId="0" applyNumberFormat="1" applyFont="1" applyBorder="1" applyProtection="1"/>
    <xf numFmtId="38" fontId="3" fillId="0" borderId="14" xfId="0" applyNumberFormat="1" applyFont="1" applyBorder="1"/>
    <xf numFmtId="38" fontId="3" fillId="0" borderId="15" xfId="0" applyNumberFormat="1" applyFont="1" applyBorder="1" applyProtection="1"/>
    <xf numFmtId="49" fontId="6" fillId="0" borderId="8" xfId="0" applyNumberFormat="1" applyFont="1" applyBorder="1" applyAlignment="1">
      <alignment horizontal="left"/>
    </xf>
    <xf numFmtId="10" fontId="3" fillId="0" borderId="14" xfId="0" applyNumberFormat="1" applyFont="1" applyBorder="1" applyProtection="1"/>
    <xf numFmtId="0" fontId="4" fillId="0" borderId="14" xfId="0" applyFont="1" applyBorder="1"/>
    <xf numFmtId="0" fontId="4" fillId="0" borderId="15" xfId="0" applyFont="1" applyBorder="1"/>
    <xf numFmtId="37" fontId="4" fillId="0" borderId="0" xfId="0" applyNumberFormat="1" applyFont="1" applyBorder="1"/>
    <xf numFmtId="49" fontId="6" fillId="0" borderId="13" xfId="0" applyNumberFormat="1" applyFont="1" applyBorder="1" applyAlignment="1">
      <alignment horizontal="left"/>
    </xf>
    <xf numFmtId="10" fontId="6" fillId="0" borderId="14" xfId="0" applyNumberFormat="1" applyFont="1" applyBorder="1" applyProtection="1"/>
    <xf numFmtId="3" fontId="0" fillId="0" borderId="0" xfId="0" applyNumberFormat="1" applyBorder="1"/>
    <xf numFmtId="3" fontId="0" fillId="0" borderId="9" xfId="0" applyNumberFormat="1" applyBorder="1"/>
    <xf numFmtId="3" fontId="4" fillId="0" borderId="0" xfId="0" applyNumberFormat="1" applyFont="1" applyBorder="1"/>
    <xf numFmtId="3" fontId="4" fillId="0" borderId="9" xfId="0" applyNumberFormat="1" applyFont="1" applyBorder="1"/>
    <xf numFmtId="0" fontId="7" fillId="0" borderId="13" xfId="0" applyFont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0" fontId="0" fillId="0" borderId="0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168" fontId="0" fillId="0" borderId="9" xfId="0" applyNumberFormat="1" applyBorder="1" applyProtection="1"/>
    <xf numFmtId="0" fontId="0" fillId="0" borderId="0" xfId="0" applyBorder="1" applyProtection="1"/>
    <xf numFmtId="169" fontId="0" fillId="0" borderId="0" xfId="0" applyNumberFormat="1" applyBorder="1" applyProtection="1"/>
    <xf numFmtId="168" fontId="0" fillId="0" borderId="0" xfId="0" applyNumberFormat="1" applyBorder="1" applyProtection="1"/>
    <xf numFmtId="164" fontId="4" fillId="0" borderId="0" xfId="0" applyNumberFormat="1" applyFont="1" applyBorder="1" applyProtection="1"/>
    <xf numFmtId="164" fontId="4" fillId="0" borderId="14" xfId="0" applyNumberFormat="1" applyFont="1" applyBorder="1" applyProtection="1"/>
    <xf numFmtId="49" fontId="8" fillId="0" borderId="8" xfId="0" applyNumberFormat="1" applyFont="1" applyBorder="1" applyAlignment="1">
      <alignment horizontal="left"/>
    </xf>
    <xf numFmtId="49" fontId="3" fillId="0" borderId="0" xfId="0" applyNumberFormat="1" applyFont="1" applyBorder="1"/>
    <xf numFmtId="49" fontId="3" fillId="0" borderId="23" xfId="0" applyNumberFormat="1" applyFont="1" applyBorder="1" applyAlignment="1">
      <alignment horizontal="left"/>
    </xf>
    <xf numFmtId="49" fontId="3" fillId="0" borderId="24" xfId="0" applyNumberFormat="1" applyFont="1" applyBorder="1" applyAlignment="1">
      <alignment horizontal="left"/>
    </xf>
    <xf numFmtId="0" fontId="3" fillId="0" borderId="25" xfId="0" applyFont="1" applyFill="1" applyBorder="1" applyAlignment="1" applyProtection="1">
      <alignment horizontal="left"/>
    </xf>
    <xf numFmtId="0" fontId="3" fillId="0" borderId="26" xfId="0" applyFont="1" applyFill="1" applyBorder="1" applyAlignment="1" applyProtection="1">
      <alignment horizontal="right"/>
    </xf>
    <xf numFmtId="0" fontId="3" fillId="0" borderId="27" xfId="0" applyFont="1" applyFill="1" applyBorder="1" applyAlignment="1" applyProtection="1">
      <alignment horizontal="right"/>
    </xf>
    <xf numFmtId="0" fontId="3" fillId="3" borderId="10" xfId="0" applyFont="1" applyFill="1" applyBorder="1"/>
    <xf numFmtId="10" fontId="3" fillId="4" borderId="10" xfId="0" applyNumberFormat="1" applyFont="1" applyFill="1" applyBorder="1" applyProtection="1"/>
    <xf numFmtId="0" fontId="3" fillId="0" borderId="25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8" fontId="0" fillId="0" borderId="9" xfId="0" applyNumberFormat="1" applyBorder="1" applyAlignment="1" applyProtection="1">
      <alignment horizontal="center"/>
    </xf>
    <xf numFmtId="169" fontId="0" fillId="0" borderId="9" xfId="0" applyNumberFormat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0" fontId="3" fillId="4" borderId="28" xfId="0" applyNumberFormat="1" applyFont="1" applyFill="1" applyBorder="1" applyAlignment="1" applyProtection="1">
      <alignment horizontal="center"/>
    </xf>
    <xf numFmtId="10" fontId="3" fillId="4" borderId="29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right"/>
    </xf>
    <xf numFmtId="0" fontId="8" fillId="0" borderId="0" xfId="0" applyNumberFormat="1" applyFont="1" applyBorder="1" applyAlignment="1">
      <alignment horizontal="right"/>
    </xf>
    <xf numFmtId="0" fontId="8" fillId="0" borderId="9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70" fontId="0" fillId="0" borderId="0" xfId="0" applyNumberFormat="1" applyFill="1" applyBorder="1"/>
    <xf numFmtId="0" fontId="0" fillId="0" borderId="0" xfId="0" applyFill="1" applyBorder="1"/>
    <xf numFmtId="10" fontId="0" fillId="0" borderId="0" xfId="0" applyNumberFormat="1" applyFill="1" applyBorder="1"/>
    <xf numFmtId="0" fontId="0" fillId="0" borderId="14" xfId="0" applyFill="1" applyBorder="1"/>
    <xf numFmtId="0" fontId="11" fillId="0" borderId="0" xfId="0" applyFont="1" applyAlignment="1">
      <alignment horizontal="center"/>
    </xf>
    <xf numFmtId="0" fontId="9" fillId="5" borderId="16" xfId="0" applyFont="1" applyFill="1" applyBorder="1" applyAlignment="1" applyProtection="1">
      <alignment horizontal="center"/>
    </xf>
    <xf numFmtId="0" fontId="10" fillId="5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42" workbookViewId="0">
      <selection activeCell="B62" sqref="B62"/>
    </sheetView>
  </sheetViews>
  <sheetFormatPr baseColWidth="10" defaultColWidth="8.83203125" defaultRowHeight="14" x14ac:dyDescent="0"/>
  <cols>
    <col min="1" max="1" width="29.5" customWidth="1"/>
    <col min="2" max="5" width="14.5" customWidth="1"/>
    <col min="6" max="6" width="13.5" customWidth="1"/>
  </cols>
  <sheetData>
    <row r="1" spans="1:2">
      <c r="A1" s="11" t="s">
        <v>2</v>
      </c>
      <c r="B1" s="12">
        <v>60000</v>
      </c>
    </row>
    <row r="2" spans="1:2">
      <c r="A2" s="11" t="s">
        <v>3</v>
      </c>
      <c r="B2" s="13">
        <v>0.05</v>
      </c>
    </row>
    <row r="3" spans="1:2">
      <c r="A3" s="11" t="s">
        <v>1</v>
      </c>
      <c r="B3" s="12">
        <v>720000</v>
      </c>
    </row>
    <row r="4" spans="1:2">
      <c r="A4" s="11" t="s">
        <v>4</v>
      </c>
      <c r="B4" s="13">
        <v>0.8</v>
      </c>
    </row>
    <row r="5" spans="1:2">
      <c r="A5" s="11" t="s">
        <v>19</v>
      </c>
      <c r="B5" s="14">
        <v>39</v>
      </c>
    </row>
    <row r="6" spans="1:2">
      <c r="A6" s="11" t="s">
        <v>5</v>
      </c>
      <c r="B6" s="12">
        <v>504000</v>
      </c>
    </row>
    <row r="7" spans="1:2">
      <c r="A7" s="11" t="s">
        <v>6</v>
      </c>
      <c r="B7" s="13">
        <v>0.08</v>
      </c>
    </row>
    <row r="8" spans="1:2">
      <c r="A8" s="11" t="s">
        <v>7</v>
      </c>
      <c r="B8" s="11">
        <v>360</v>
      </c>
    </row>
    <row r="9" spans="1:2">
      <c r="A9" s="11" t="s">
        <v>132</v>
      </c>
      <c r="B9" s="117" t="s">
        <v>133</v>
      </c>
    </row>
    <row r="10" spans="1:2">
      <c r="A10" s="11" t="s">
        <v>8</v>
      </c>
      <c r="B10" s="12">
        <v>860000</v>
      </c>
    </row>
    <row r="11" spans="1:2">
      <c r="A11" s="11" t="s">
        <v>9</v>
      </c>
      <c r="B11" s="13">
        <v>0.04</v>
      </c>
    </row>
    <row r="12" spans="1:2">
      <c r="A12" s="11" t="s">
        <v>10</v>
      </c>
      <c r="B12" s="13">
        <v>0.14000000000000001</v>
      </c>
    </row>
    <row r="13" spans="1:2">
      <c r="A13" s="11" t="s">
        <v>11</v>
      </c>
      <c r="B13" s="13">
        <v>0.28000000000000003</v>
      </c>
    </row>
    <row r="14" spans="1:2">
      <c r="A14" s="11" t="s">
        <v>12</v>
      </c>
      <c r="B14" s="13">
        <v>0.2</v>
      </c>
    </row>
    <row r="15" spans="1:2">
      <c r="A15" s="11" t="s">
        <v>13</v>
      </c>
      <c r="B15" s="13">
        <v>0.25</v>
      </c>
    </row>
    <row r="18" spans="1:5">
      <c r="A18" s="5" t="s">
        <v>32</v>
      </c>
    </row>
    <row r="20" spans="1:5">
      <c r="A20" s="15"/>
      <c r="B20" s="29" t="s">
        <v>52</v>
      </c>
      <c r="C20" s="29" t="s">
        <v>53</v>
      </c>
      <c r="D20" s="29" t="s">
        <v>54</v>
      </c>
      <c r="E20" s="29" t="s">
        <v>55</v>
      </c>
    </row>
    <row r="21" spans="1:5">
      <c r="A21" s="15" t="s">
        <v>134</v>
      </c>
      <c r="B21" s="19">
        <f>B1</f>
        <v>60000</v>
      </c>
      <c r="C21" s="19">
        <f>B21*(1+$B$2)</f>
        <v>63000</v>
      </c>
      <c r="D21" s="19">
        <f>C21*(1+$B$2)</f>
        <v>66150</v>
      </c>
      <c r="E21" s="19">
        <f t="shared" ref="E21" si="0">D21*(1+$B$2)</f>
        <v>69457.5</v>
      </c>
    </row>
    <row r="22" spans="1:5">
      <c r="A22" s="16" t="s">
        <v>18</v>
      </c>
      <c r="B22" s="17">
        <f>-$B$3*$B$4/$B$5</f>
        <v>-14769.23076923077</v>
      </c>
      <c r="C22" s="17">
        <f>-$B$3*$B$4/$B$5</f>
        <v>-14769.23076923077</v>
      </c>
      <c r="D22" s="17">
        <f>-$B$3*$B$4/$B$5</f>
        <v>-14769.23076923077</v>
      </c>
      <c r="E22" s="17">
        <f>-$B$3*$B$4/$B$5</f>
        <v>-14769.23076923077</v>
      </c>
    </row>
    <row r="23" spans="1:5">
      <c r="A23" s="16" t="s">
        <v>20</v>
      </c>
      <c r="B23" s="17">
        <f>SUM(Amortization!C3:C14)</f>
        <v>-40167.846964132586</v>
      </c>
      <c r="C23" s="17">
        <f>SUM(Amortization!C15:C26)</f>
        <v>-39818.399580068959</v>
      </c>
      <c r="D23" s="17">
        <f>SUM(Amortization!C27:C38)</f>
        <v>-39439.948235472883</v>
      </c>
      <c r="E23" s="17">
        <f>SUM(Amortization!C39:C50)</f>
        <v>-39030.085615924676</v>
      </c>
    </row>
    <row r="24" spans="1:5">
      <c r="A24" s="16" t="s">
        <v>21</v>
      </c>
      <c r="B24" s="17">
        <f>SUM(B21:B23)</f>
        <v>5062.9222666366477</v>
      </c>
      <c r="C24" s="17">
        <f>SUM(C21:C23)</f>
        <v>8412.3696507002751</v>
      </c>
      <c r="D24" s="17">
        <f>SUM(D21:D23)</f>
        <v>11940.820995296352</v>
      </c>
      <c r="E24" s="17">
        <f>SUM(E21:E23)</f>
        <v>15658.183614844558</v>
      </c>
    </row>
    <row r="25" spans="1:5">
      <c r="A25" s="20" t="s">
        <v>29</v>
      </c>
      <c r="B25" s="21">
        <f>-B24*$B$13</f>
        <v>-1417.6182346582616</v>
      </c>
      <c r="C25" s="21">
        <f t="shared" ref="C25:E25" si="1">-C24*$B$13</f>
        <v>-2355.4635021960771</v>
      </c>
      <c r="D25" s="21">
        <f t="shared" si="1"/>
        <v>-3343.4298786829786</v>
      </c>
      <c r="E25" s="21">
        <f t="shared" si="1"/>
        <v>-4384.2914121564763</v>
      </c>
    </row>
    <row r="26" spans="1:5">
      <c r="B26" s="4"/>
      <c r="C26" s="4"/>
      <c r="D26" s="4"/>
      <c r="E26" s="4"/>
    </row>
    <row r="27" spans="1:5">
      <c r="B27" s="4"/>
      <c r="C27" s="4"/>
      <c r="D27" s="4"/>
      <c r="E27" s="4"/>
    </row>
    <row r="28" spans="1:5">
      <c r="A28" s="15" t="s">
        <v>0</v>
      </c>
      <c r="B28" s="19">
        <f>B21</f>
        <v>60000</v>
      </c>
      <c r="C28" s="19">
        <f>C21</f>
        <v>63000</v>
      </c>
      <c r="D28" s="19">
        <f>D21</f>
        <v>66150</v>
      </c>
      <c r="E28" s="19">
        <f>E21</f>
        <v>69457.5</v>
      </c>
    </row>
    <row r="29" spans="1:5">
      <c r="A29" t="s">
        <v>28</v>
      </c>
      <c r="B29" s="4">
        <f>PMT(B7/12,B8,B6)*12</f>
        <v>-44378.081428224672</v>
      </c>
      <c r="C29" s="4">
        <f>B29</f>
        <v>-44378.081428224672</v>
      </c>
      <c r="D29" s="4">
        <f t="shared" ref="D29:E29" si="2">C29</f>
        <v>-44378.081428224672</v>
      </c>
      <c r="E29" s="4">
        <f t="shared" si="2"/>
        <v>-44378.081428224672</v>
      </c>
    </row>
    <row r="30" spans="1:5">
      <c r="A30" t="s">
        <v>29</v>
      </c>
      <c r="B30" s="4">
        <f>B25</f>
        <v>-1417.6182346582616</v>
      </c>
      <c r="C30" s="4">
        <f t="shared" ref="C30:E30" si="3">C25</f>
        <v>-2355.4635021960771</v>
      </c>
      <c r="D30" s="4">
        <f t="shared" si="3"/>
        <v>-3343.4298786829786</v>
      </c>
      <c r="E30" s="4">
        <f t="shared" si="3"/>
        <v>-4384.2914121564763</v>
      </c>
    </row>
    <row r="31" spans="1:5">
      <c r="A31" s="20" t="s">
        <v>27</v>
      </c>
      <c r="B31" s="21">
        <f>SUM(B28:B30)</f>
        <v>14204.300337117067</v>
      </c>
      <c r="C31" s="21">
        <f t="shared" ref="C31:E31" si="4">SUM(C28:C30)</f>
        <v>16266.455069579251</v>
      </c>
      <c r="D31" s="21">
        <f t="shared" si="4"/>
        <v>18428.488693092349</v>
      </c>
      <c r="E31" s="21">
        <f t="shared" si="4"/>
        <v>20695.127159618853</v>
      </c>
    </row>
    <row r="35" spans="1:2">
      <c r="A35" s="5" t="s">
        <v>33</v>
      </c>
    </row>
    <row r="37" spans="1:2">
      <c r="A37" s="15" t="s">
        <v>8</v>
      </c>
      <c r="B37" s="31">
        <f>B10</f>
        <v>860000</v>
      </c>
    </row>
    <row r="38" spans="1:2">
      <c r="A38" s="16" t="s">
        <v>9</v>
      </c>
      <c r="B38" s="30">
        <f>-B11*B10</f>
        <v>-34400</v>
      </c>
    </row>
    <row r="39" spans="1:2">
      <c r="A39" s="20" t="s">
        <v>30</v>
      </c>
      <c r="B39" s="25">
        <f>B37+B38</f>
        <v>825600</v>
      </c>
    </row>
    <row r="40" spans="1:2">
      <c r="A40" s="16" t="s">
        <v>1</v>
      </c>
      <c r="B40" s="30">
        <f>-B3</f>
        <v>-720000</v>
      </c>
    </row>
    <row r="41" spans="1:2">
      <c r="A41" s="16" t="s">
        <v>34</v>
      </c>
      <c r="B41" s="30">
        <f>B39+B40</f>
        <v>105600</v>
      </c>
    </row>
    <row r="42" spans="1:2">
      <c r="A42" s="20" t="s">
        <v>35</v>
      </c>
      <c r="B42" s="25">
        <f>-B14*B41</f>
        <v>-21120</v>
      </c>
    </row>
    <row r="43" spans="1:2">
      <c r="A43" s="16"/>
      <c r="B43" s="30"/>
    </row>
    <row r="44" spans="1:2">
      <c r="A44" s="23" t="s">
        <v>36</v>
      </c>
      <c r="B44" s="24">
        <f>-SUM(B22:E22)</f>
        <v>59076.923076923078</v>
      </c>
    </row>
    <row r="45" spans="1:2">
      <c r="A45" s="20" t="s">
        <v>37</v>
      </c>
      <c r="B45" s="25">
        <f>-B44*B15</f>
        <v>-14769.23076923077</v>
      </c>
    </row>
    <row r="46" spans="1:2">
      <c r="B46" s="3"/>
    </row>
    <row r="47" spans="1:2">
      <c r="B47" s="3"/>
    </row>
    <row r="48" spans="1:2">
      <c r="A48" s="23" t="s">
        <v>30</v>
      </c>
      <c r="B48" s="24">
        <f>B39</f>
        <v>825600</v>
      </c>
    </row>
    <row r="49" spans="1:6">
      <c r="A49" t="s">
        <v>35</v>
      </c>
      <c r="B49" s="3">
        <f>B42</f>
        <v>-21120</v>
      </c>
    </row>
    <row r="50" spans="1:6">
      <c r="A50" t="s">
        <v>37</v>
      </c>
      <c r="B50" s="3">
        <f>B45</f>
        <v>-14769.23076923077</v>
      </c>
    </row>
    <row r="51" spans="1:6">
      <c r="A51" t="s">
        <v>38</v>
      </c>
      <c r="B51" s="3">
        <f>-Amortization!E50</f>
        <v>-484943.95468270034</v>
      </c>
    </row>
    <row r="52" spans="1:6">
      <c r="A52" s="20" t="s">
        <v>31</v>
      </c>
      <c r="B52" s="25">
        <f>SUM(B48:B51)</f>
        <v>304766.81454806891</v>
      </c>
    </row>
    <row r="53" spans="1:6">
      <c r="B53" s="3"/>
    </row>
    <row r="54" spans="1:6">
      <c r="A54" t="s">
        <v>50</v>
      </c>
    </row>
    <row r="56" spans="1:6">
      <c r="A56" s="5" t="s">
        <v>48</v>
      </c>
    </row>
    <row r="58" spans="1:6">
      <c r="A58" s="23"/>
      <c r="B58" s="26" t="s">
        <v>46</v>
      </c>
      <c r="C58" s="26" t="s">
        <v>14</v>
      </c>
      <c r="D58" s="26" t="s">
        <v>15</v>
      </c>
      <c r="E58" s="26" t="s">
        <v>16</v>
      </c>
      <c r="F58" s="26" t="s">
        <v>17</v>
      </c>
    </row>
    <row r="59" spans="1:6">
      <c r="A59" s="5" t="s">
        <v>39</v>
      </c>
      <c r="B59" s="6"/>
      <c r="C59" s="7">
        <f>B31</f>
        <v>14204.300337117067</v>
      </c>
      <c r="D59" s="7">
        <f>C31</f>
        <v>16266.455069579251</v>
      </c>
      <c r="E59" s="7">
        <f>D31</f>
        <v>18428.488693092349</v>
      </c>
      <c r="F59" s="7">
        <f>E31+B52</f>
        <v>325461.94170768774</v>
      </c>
    </row>
    <row r="60" spans="1:6">
      <c r="A60" t="s">
        <v>45</v>
      </c>
      <c r="B60" s="7">
        <f xml:space="preserve"> NPV(B12,C59,D59,E59,F59)</f>
        <v>230114.72322999727</v>
      </c>
    </row>
    <row r="61" spans="1:6">
      <c r="A61" s="5" t="s">
        <v>47</v>
      </c>
      <c r="B61" s="7">
        <f>-(B3-B6)</f>
        <v>-216000</v>
      </c>
    </row>
    <row r="62" spans="1:6">
      <c r="A62" s="5" t="s">
        <v>40</v>
      </c>
      <c r="B62" s="8">
        <f>B60+B61</f>
        <v>14114.723229997267</v>
      </c>
      <c r="C62" s="5"/>
      <c r="D62" s="5" t="s">
        <v>41</v>
      </c>
      <c r="E62" s="5"/>
      <c r="F62" s="5"/>
    </row>
    <row r="63" spans="1:6">
      <c r="B63" s="6"/>
    </row>
    <row r="64" spans="1:6">
      <c r="A64" s="18" t="s">
        <v>42</v>
      </c>
      <c r="B64" s="27">
        <f>NPV(0.18,C59,D59,E59,F59)+B61</f>
        <v>-13194.346609426226</v>
      </c>
      <c r="C64" s="18"/>
      <c r="D64" s="18" t="s">
        <v>51</v>
      </c>
      <c r="E64" s="22"/>
      <c r="F64" s="22"/>
    </row>
    <row r="65" spans="1:6">
      <c r="B65" s="6"/>
    </row>
    <row r="66" spans="1:6">
      <c r="B66" s="6"/>
    </row>
    <row r="67" spans="1:6">
      <c r="A67" s="5" t="s">
        <v>49</v>
      </c>
      <c r="B67" s="6"/>
    </row>
    <row r="68" spans="1:6">
      <c r="B68" s="6"/>
    </row>
    <row r="69" spans="1:6">
      <c r="A69" s="23"/>
      <c r="B69" s="26" t="s">
        <v>44</v>
      </c>
      <c r="C69" s="26" t="s">
        <v>14</v>
      </c>
      <c r="D69" s="26" t="s">
        <v>15</v>
      </c>
      <c r="E69" s="26" t="s">
        <v>16</v>
      </c>
      <c r="F69" s="26" t="s">
        <v>17</v>
      </c>
    </row>
    <row r="70" spans="1:6">
      <c r="A70" s="5" t="s">
        <v>39</v>
      </c>
      <c r="B70" s="7">
        <f>B61</f>
        <v>-216000</v>
      </c>
      <c r="C70" s="7">
        <f>C59</f>
        <v>14204.300337117067</v>
      </c>
      <c r="D70" s="7">
        <f>D59</f>
        <v>16266.455069579251</v>
      </c>
      <c r="E70" s="7">
        <f>E59</f>
        <v>18428.488693092349</v>
      </c>
      <c r="F70" s="7">
        <f>F59</f>
        <v>325461.94170768774</v>
      </c>
    </row>
    <row r="71" spans="1:6">
      <c r="B71" s="6"/>
    </row>
    <row r="72" spans="1:6">
      <c r="A72" s="18" t="s">
        <v>43</v>
      </c>
      <c r="B72" s="28">
        <f>IRR(B70:F70)</f>
        <v>0.15983841126931142</v>
      </c>
      <c r="C72" s="22"/>
      <c r="D72" s="22"/>
      <c r="E72" s="22"/>
      <c r="F72" s="22"/>
    </row>
    <row r="75" spans="1:6">
      <c r="B75" s="7"/>
    </row>
    <row r="76" spans="1:6">
      <c r="B76" s="7"/>
    </row>
    <row r="77" spans="1:6">
      <c r="A77" s="5"/>
      <c r="B77" s="8"/>
      <c r="C77" s="5"/>
      <c r="D77" s="5"/>
      <c r="E77" s="5"/>
      <c r="F77" s="5"/>
    </row>
    <row r="78" spans="1:6">
      <c r="B78" s="6"/>
    </row>
    <row r="79" spans="1:6">
      <c r="B79" s="7"/>
    </row>
    <row r="81" spans="2:2">
      <c r="B81" s="9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2"/>
  <sheetViews>
    <sheetView workbookViewId="0">
      <selection activeCell="G5" sqref="G5"/>
    </sheetView>
  </sheetViews>
  <sheetFormatPr baseColWidth="10" defaultColWidth="8.83203125" defaultRowHeight="14" x14ac:dyDescent="0"/>
  <cols>
    <col min="1" max="1" width="12.5" style="120" customWidth="1"/>
    <col min="2" max="4" width="14.5" customWidth="1"/>
    <col min="5" max="5" width="20.83203125" customWidth="1"/>
    <col min="6" max="6" width="14.5" customWidth="1"/>
  </cols>
  <sheetData>
    <row r="1" spans="1:5">
      <c r="A1" s="125" t="s">
        <v>23</v>
      </c>
      <c r="B1" s="125" t="s">
        <v>22</v>
      </c>
      <c r="C1" s="125" t="s">
        <v>24</v>
      </c>
      <c r="D1" s="125" t="s">
        <v>25</v>
      </c>
      <c r="E1" s="125" t="s">
        <v>26</v>
      </c>
    </row>
    <row r="2" spans="1:5">
      <c r="A2" s="120">
        <v>0</v>
      </c>
      <c r="E2" s="10">
        <f>CFs!B6</f>
        <v>504000</v>
      </c>
    </row>
    <row r="3" spans="1:5">
      <c r="A3" s="120">
        <v>1</v>
      </c>
      <c r="B3" s="1">
        <f>PMT(CFs!$B$7/12,CFs!$B$8,CFs!$B$6)</f>
        <v>-3698.1734523520558</v>
      </c>
      <c r="C3" s="2">
        <f>-E2*CFs!$B$7/12</f>
        <v>-3360</v>
      </c>
      <c r="D3" s="1">
        <f>B3-C3</f>
        <v>-338.17345235205585</v>
      </c>
      <c r="E3" s="1">
        <f>E2+D3</f>
        <v>503661.82654764794</v>
      </c>
    </row>
    <row r="4" spans="1:5">
      <c r="A4" s="120">
        <f>A3+1</f>
        <v>2</v>
      </c>
      <c r="B4" s="1">
        <f>PMT(CFs!$B$7/12,CFs!$B$8,CFs!$B$6)</f>
        <v>-3698.1734523520558</v>
      </c>
      <c r="C4" s="2">
        <f>-E3*CFs!$B$7/12</f>
        <v>-3357.745510317653</v>
      </c>
      <c r="D4" s="1">
        <f t="shared" ref="D4:D52" si="0">B4-C4</f>
        <v>-340.4279420344028</v>
      </c>
      <c r="E4" s="1">
        <f t="shared" ref="E4:E52" si="1">E3+D4</f>
        <v>503321.39860561356</v>
      </c>
    </row>
    <row r="5" spans="1:5">
      <c r="A5" s="120">
        <f t="shared" ref="A5:A68" si="2">A4+1</f>
        <v>3</v>
      </c>
      <c r="B5" s="1">
        <f>PMT(CFs!$B$7/12,CFs!$B$8,CFs!$B$6)</f>
        <v>-3698.1734523520558</v>
      </c>
      <c r="C5" s="2">
        <f>-E4*CFs!$B$7/12</f>
        <v>-3355.4759907040902</v>
      </c>
      <c r="D5" s="1">
        <f t="shared" si="0"/>
        <v>-342.69746164796561</v>
      </c>
      <c r="E5" s="1">
        <f t="shared" si="1"/>
        <v>502978.70114396559</v>
      </c>
    </row>
    <row r="6" spans="1:5">
      <c r="A6" s="120">
        <f t="shared" si="2"/>
        <v>4</v>
      </c>
      <c r="B6" s="1">
        <f>PMT(CFs!$B$7/12,CFs!$B$8,CFs!$B$6)</f>
        <v>-3698.1734523520558</v>
      </c>
      <c r="C6" s="2">
        <f>-E5*CFs!$B$7/12</f>
        <v>-3353.191340959771</v>
      </c>
      <c r="D6" s="1">
        <f t="shared" si="0"/>
        <v>-344.98211139228488</v>
      </c>
      <c r="E6" s="1">
        <f t="shared" si="1"/>
        <v>502633.71903257328</v>
      </c>
    </row>
    <row r="7" spans="1:5">
      <c r="A7" s="120">
        <f t="shared" si="2"/>
        <v>5</v>
      </c>
      <c r="B7" s="1">
        <f>PMT(CFs!$B$7/12,CFs!$B$8,CFs!$B$6)</f>
        <v>-3698.1734523520558</v>
      </c>
      <c r="C7" s="2">
        <f>-E6*CFs!$B$7/12</f>
        <v>-3350.8914602171553</v>
      </c>
      <c r="D7" s="1">
        <f t="shared" si="0"/>
        <v>-347.28199213490052</v>
      </c>
      <c r="E7" s="1">
        <f t="shared" si="1"/>
        <v>502286.43704043835</v>
      </c>
    </row>
    <row r="8" spans="1:5">
      <c r="A8" s="120">
        <f t="shared" si="2"/>
        <v>6</v>
      </c>
      <c r="B8" s="1">
        <f>PMT(CFs!$B$7/12,CFs!$B$8,CFs!$B$6)</f>
        <v>-3698.1734523520558</v>
      </c>
      <c r="C8" s="2">
        <f>-E7*CFs!$B$7/12</f>
        <v>-3348.5762469362558</v>
      </c>
      <c r="D8" s="1">
        <f t="shared" si="0"/>
        <v>-349.59720541580009</v>
      </c>
      <c r="E8" s="1">
        <f t="shared" si="1"/>
        <v>501936.83983502258</v>
      </c>
    </row>
    <row r="9" spans="1:5">
      <c r="A9" s="120">
        <f t="shared" si="2"/>
        <v>7</v>
      </c>
      <c r="B9" s="1">
        <f>PMT(CFs!$B$7/12,CFs!$B$8,CFs!$B$6)</f>
        <v>-3698.1734523520558</v>
      </c>
      <c r="C9" s="2">
        <f>-E8*CFs!$B$7/12</f>
        <v>-3346.2455989001505</v>
      </c>
      <c r="D9" s="1">
        <f t="shared" si="0"/>
        <v>-351.92785345190532</v>
      </c>
      <c r="E9" s="1">
        <f t="shared" si="1"/>
        <v>501584.91198157065</v>
      </c>
    </row>
    <row r="10" spans="1:5">
      <c r="A10" s="120">
        <f t="shared" si="2"/>
        <v>8</v>
      </c>
      <c r="B10" s="1">
        <f>PMT(CFs!$B$7/12,CFs!$B$8,CFs!$B$6)</f>
        <v>-3698.1734523520558</v>
      </c>
      <c r="C10" s="2">
        <f>-E9*CFs!$B$7/12</f>
        <v>-3343.8994132104708</v>
      </c>
      <c r="D10" s="1">
        <f t="shared" si="0"/>
        <v>-354.27403914158504</v>
      </c>
      <c r="E10" s="1">
        <f t="shared" si="1"/>
        <v>501230.63794242905</v>
      </c>
    </row>
    <row r="11" spans="1:5">
      <c r="A11" s="120">
        <f t="shared" si="2"/>
        <v>9</v>
      </c>
      <c r="B11" s="1">
        <f>PMT(CFs!$B$7/12,CFs!$B$8,CFs!$B$6)</f>
        <v>-3698.1734523520558</v>
      </c>
      <c r="C11" s="2">
        <f>-E10*CFs!$B$7/12</f>
        <v>-3341.5375862828605</v>
      </c>
      <c r="D11" s="1">
        <f t="shared" si="0"/>
        <v>-356.63586606919534</v>
      </c>
      <c r="E11" s="1">
        <f t="shared" si="1"/>
        <v>500874.00207635987</v>
      </c>
    </row>
    <row r="12" spans="1:5">
      <c r="A12" s="120">
        <f t="shared" si="2"/>
        <v>10</v>
      </c>
      <c r="B12" s="1">
        <f>PMT(CFs!$B$7/12,CFs!$B$8,CFs!$B$6)</f>
        <v>-3698.1734523520558</v>
      </c>
      <c r="C12" s="2">
        <f>-E11*CFs!$B$7/12</f>
        <v>-3339.1600138423996</v>
      </c>
      <c r="D12" s="1">
        <f t="shared" si="0"/>
        <v>-359.01343850965623</v>
      </c>
      <c r="E12" s="1">
        <f t="shared" si="1"/>
        <v>500514.98863785021</v>
      </c>
    </row>
    <row r="13" spans="1:5">
      <c r="A13" s="120">
        <f t="shared" si="2"/>
        <v>11</v>
      </c>
      <c r="B13" s="1">
        <f>PMT(CFs!$B$7/12,CFs!$B$8,CFs!$B$6)</f>
        <v>-3698.1734523520558</v>
      </c>
      <c r="C13" s="2">
        <f>-E12*CFs!$B$7/12</f>
        <v>-3336.7665909190014</v>
      </c>
      <c r="D13" s="1">
        <f t="shared" si="0"/>
        <v>-361.40686143305447</v>
      </c>
      <c r="E13" s="1">
        <f t="shared" si="1"/>
        <v>500153.58177641715</v>
      </c>
    </row>
    <row r="14" spans="1:5">
      <c r="A14" s="120">
        <f t="shared" si="2"/>
        <v>12</v>
      </c>
      <c r="B14" s="1">
        <f>PMT(CFs!$B$7/12,CFs!$B$8,CFs!$B$6)</f>
        <v>-3698.1734523520558</v>
      </c>
      <c r="C14" s="2">
        <f>-E13*CFs!$B$7/12</f>
        <v>-3334.3572118427815</v>
      </c>
      <c r="D14" s="1">
        <f t="shared" si="0"/>
        <v>-363.81624050927439</v>
      </c>
      <c r="E14" s="1">
        <f t="shared" si="1"/>
        <v>499789.76553590788</v>
      </c>
    </row>
    <row r="15" spans="1:5">
      <c r="A15" s="120">
        <f t="shared" si="2"/>
        <v>13</v>
      </c>
      <c r="B15" s="1">
        <f>PMT(CFs!$B$7/12,CFs!$B$8,CFs!$B$6)</f>
        <v>-3698.1734523520558</v>
      </c>
      <c r="C15" s="2">
        <f>-E14*CFs!$B$7/12</f>
        <v>-3331.931770239386</v>
      </c>
      <c r="D15" s="1">
        <f t="shared" si="0"/>
        <v>-366.24168211266988</v>
      </c>
      <c r="E15" s="1">
        <f t="shared" si="1"/>
        <v>499423.5238537952</v>
      </c>
    </row>
    <row r="16" spans="1:5">
      <c r="A16" s="120">
        <f t="shared" si="2"/>
        <v>14</v>
      </c>
      <c r="B16" s="1">
        <f>PMT(CFs!$B$7/12,CFs!$B$8,CFs!$B$6)</f>
        <v>-3698.1734523520558</v>
      </c>
      <c r="C16" s="2">
        <f>-E15*CFs!$B$7/12</f>
        <v>-3329.4901590253012</v>
      </c>
      <c r="D16" s="1">
        <f t="shared" si="0"/>
        <v>-368.68329332675467</v>
      </c>
      <c r="E16" s="1">
        <f t="shared" si="1"/>
        <v>499054.84056046844</v>
      </c>
    </row>
    <row r="17" spans="1:5">
      <c r="A17" s="120">
        <f t="shared" si="2"/>
        <v>15</v>
      </c>
      <c r="B17" s="1">
        <f>PMT(CFs!$B$7/12,CFs!$B$8,CFs!$B$6)</f>
        <v>-3698.1734523520558</v>
      </c>
      <c r="C17" s="2">
        <f>-E16*CFs!$B$7/12</f>
        <v>-3327.0322704031228</v>
      </c>
      <c r="D17" s="1">
        <f t="shared" si="0"/>
        <v>-371.14118194893308</v>
      </c>
      <c r="E17" s="1">
        <f t="shared" si="1"/>
        <v>498683.69937851949</v>
      </c>
    </row>
    <row r="18" spans="1:5">
      <c r="A18" s="120">
        <f t="shared" si="2"/>
        <v>16</v>
      </c>
      <c r="B18" s="1">
        <f>PMT(CFs!$B$7/12,CFs!$B$8,CFs!$B$6)</f>
        <v>-3698.1734523520558</v>
      </c>
      <c r="C18" s="2">
        <f>-E17*CFs!$B$7/12</f>
        <v>-3324.5579958567964</v>
      </c>
      <c r="D18" s="1">
        <f t="shared" si="0"/>
        <v>-373.61545649525942</v>
      </c>
      <c r="E18" s="1">
        <f t="shared" si="1"/>
        <v>498310.08392202423</v>
      </c>
    </row>
    <row r="19" spans="1:5">
      <c r="A19" s="120">
        <f t="shared" si="2"/>
        <v>17</v>
      </c>
      <c r="B19" s="1">
        <f>PMT(CFs!$B$7/12,CFs!$B$8,CFs!$B$6)</f>
        <v>-3698.1734523520558</v>
      </c>
      <c r="C19" s="2">
        <f>-E18*CFs!$B$7/12</f>
        <v>-3322.067226146828</v>
      </c>
      <c r="D19" s="1">
        <f t="shared" si="0"/>
        <v>-376.10622620522781</v>
      </c>
      <c r="E19" s="1">
        <f t="shared" si="1"/>
        <v>497933.97769581899</v>
      </c>
    </row>
    <row r="20" spans="1:5">
      <c r="A20" s="120">
        <f t="shared" si="2"/>
        <v>18</v>
      </c>
      <c r="B20" s="1">
        <f>PMT(CFs!$B$7/12,CFs!$B$8,CFs!$B$6)</f>
        <v>-3698.1734523520558</v>
      </c>
      <c r="C20" s="2">
        <f>-E19*CFs!$B$7/12</f>
        <v>-3319.5598513054597</v>
      </c>
      <c r="D20" s="1">
        <f t="shared" si="0"/>
        <v>-378.61360104659616</v>
      </c>
      <c r="E20" s="1">
        <f t="shared" si="1"/>
        <v>497555.36409477238</v>
      </c>
    </row>
    <row r="21" spans="1:5">
      <c r="A21" s="120">
        <f t="shared" si="2"/>
        <v>19</v>
      </c>
      <c r="B21" s="1">
        <f>PMT(CFs!$B$7/12,CFs!$B$8,CFs!$B$6)</f>
        <v>-3698.1734523520558</v>
      </c>
      <c r="C21" s="2">
        <f>-E20*CFs!$B$7/12</f>
        <v>-3317.0357606318157</v>
      </c>
      <c r="D21" s="1">
        <f t="shared" si="0"/>
        <v>-381.13769172024013</v>
      </c>
      <c r="E21" s="1">
        <f t="shared" si="1"/>
        <v>497174.22640305216</v>
      </c>
    </row>
    <row r="22" spans="1:5">
      <c r="A22" s="120">
        <f t="shared" si="2"/>
        <v>20</v>
      </c>
      <c r="B22" s="1">
        <f>PMT(CFs!$B$7/12,CFs!$B$8,CFs!$B$6)</f>
        <v>-3698.1734523520558</v>
      </c>
      <c r="C22" s="2">
        <f>-E21*CFs!$B$7/12</f>
        <v>-3314.4948426870146</v>
      </c>
      <c r="D22" s="1">
        <f t="shared" si="0"/>
        <v>-383.67860966504122</v>
      </c>
      <c r="E22" s="1">
        <f t="shared" si="1"/>
        <v>496790.54779338714</v>
      </c>
    </row>
    <row r="23" spans="1:5">
      <c r="A23" s="120">
        <f t="shared" si="2"/>
        <v>21</v>
      </c>
      <c r="B23" s="1">
        <f>PMT(CFs!$B$7/12,CFs!$B$8,CFs!$B$6)</f>
        <v>-3698.1734523520558</v>
      </c>
      <c r="C23" s="2">
        <f>-E22*CFs!$B$7/12</f>
        <v>-3311.9369852892473</v>
      </c>
      <c r="D23" s="1">
        <f t="shared" si="0"/>
        <v>-386.23646706280852</v>
      </c>
      <c r="E23" s="1">
        <f t="shared" si="1"/>
        <v>496404.31132632436</v>
      </c>
    </row>
    <row r="24" spans="1:5">
      <c r="A24" s="120">
        <f t="shared" si="2"/>
        <v>22</v>
      </c>
      <c r="B24" s="1">
        <f>PMT(CFs!$B$7/12,CFs!$B$8,CFs!$B$6)</f>
        <v>-3698.1734523520558</v>
      </c>
      <c r="C24" s="2">
        <f>-E23*CFs!$B$7/12</f>
        <v>-3309.3620755088291</v>
      </c>
      <c r="D24" s="1">
        <f t="shared" si="0"/>
        <v>-388.81137684322675</v>
      </c>
      <c r="E24" s="1">
        <f t="shared" si="1"/>
        <v>496015.49994948111</v>
      </c>
    </row>
    <row r="25" spans="1:5">
      <c r="A25" s="120">
        <f t="shared" si="2"/>
        <v>23</v>
      </c>
      <c r="B25" s="1">
        <f>PMT(CFs!$B$7/12,CFs!$B$8,CFs!$B$6)</f>
        <v>-3698.1734523520558</v>
      </c>
      <c r="C25" s="2">
        <f>-E24*CFs!$B$7/12</f>
        <v>-3306.7699996632073</v>
      </c>
      <c r="D25" s="1">
        <f t="shared" si="0"/>
        <v>-391.40345268884857</v>
      </c>
      <c r="E25" s="1">
        <f t="shared" si="1"/>
        <v>495624.09649679228</v>
      </c>
    </row>
    <row r="26" spans="1:5">
      <c r="A26" s="120">
        <f t="shared" si="2"/>
        <v>24</v>
      </c>
      <c r="B26" s="1">
        <f>PMT(CFs!$B$7/12,CFs!$B$8,CFs!$B$6)</f>
        <v>-3698.1734523520558</v>
      </c>
      <c r="C26" s="2">
        <f>-E25*CFs!$B$7/12</f>
        <v>-3304.1606433119487</v>
      </c>
      <c r="D26" s="1">
        <f t="shared" si="0"/>
        <v>-394.01280904010719</v>
      </c>
      <c r="E26" s="1">
        <f t="shared" si="1"/>
        <v>495230.08368775219</v>
      </c>
    </row>
    <row r="27" spans="1:5">
      <c r="A27" s="120">
        <f t="shared" si="2"/>
        <v>25</v>
      </c>
      <c r="B27" s="1">
        <f>PMT(CFs!$B$7/12,CFs!$B$8,CFs!$B$6)</f>
        <v>-3698.1734523520558</v>
      </c>
      <c r="C27" s="2">
        <f>-E26*CFs!$B$7/12</f>
        <v>-3301.5338912516813</v>
      </c>
      <c r="D27" s="1">
        <f t="shared" si="0"/>
        <v>-396.63956110037452</v>
      </c>
      <c r="E27" s="1">
        <f t="shared" si="1"/>
        <v>494833.4441266518</v>
      </c>
    </row>
    <row r="28" spans="1:5">
      <c r="A28" s="120">
        <f t="shared" si="2"/>
        <v>26</v>
      </c>
      <c r="B28" s="1">
        <f>PMT(CFs!$B$7/12,CFs!$B$8,CFs!$B$6)</f>
        <v>-3698.1734523520558</v>
      </c>
      <c r="C28" s="2">
        <f>-E27*CFs!$B$7/12</f>
        <v>-3298.8896275110123</v>
      </c>
      <c r="D28" s="1">
        <f t="shared" si="0"/>
        <v>-399.2838248410435</v>
      </c>
      <c r="E28" s="1">
        <f t="shared" si="1"/>
        <v>494434.16030181077</v>
      </c>
    </row>
    <row r="29" spans="1:5">
      <c r="A29" s="120">
        <f t="shared" si="2"/>
        <v>27</v>
      </c>
      <c r="B29" s="1">
        <f>PMT(CFs!$B$7/12,CFs!$B$8,CFs!$B$6)</f>
        <v>-3698.1734523520558</v>
      </c>
      <c r="C29" s="2">
        <f>-E28*CFs!$B$7/12</f>
        <v>-3296.2277353454051</v>
      </c>
      <c r="D29" s="1">
        <f t="shared" si="0"/>
        <v>-401.94571700665074</v>
      </c>
      <c r="E29" s="1">
        <f t="shared" si="1"/>
        <v>494032.21458480414</v>
      </c>
    </row>
    <row r="30" spans="1:5">
      <c r="A30" s="120">
        <f t="shared" si="2"/>
        <v>28</v>
      </c>
      <c r="B30" s="1">
        <f>PMT(CFs!$B$7/12,CFs!$B$8,CFs!$B$6)</f>
        <v>-3698.1734523520558</v>
      </c>
      <c r="C30" s="2">
        <f>-E29*CFs!$B$7/12</f>
        <v>-3293.5480972320274</v>
      </c>
      <c r="D30" s="1">
        <f t="shared" si="0"/>
        <v>-404.62535512002842</v>
      </c>
      <c r="E30" s="1">
        <f t="shared" si="1"/>
        <v>493627.58922968409</v>
      </c>
    </row>
    <row r="31" spans="1:5">
      <c r="A31" s="120">
        <f t="shared" si="2"/>
        <v>29</v>
      </c>
      <c r="B31" s="1">
        <f>PMT(CFs!$B$7/12,CFs!$B$8,CFs!$B$6)</f>
        <v>-3698.1734523520558</v>
      </c>
      <c r="C31" s="2">
        <f>-E30*CFs!$B$7/12</f>
        <v>-3290.8505948645611</v>
      </c>
      <c r="D31" s="1">
        <f t="shared" si="0"/>
        <v>-407.32285748749473</v>
      </c>
      <c r="E31" s="1">
        <f t="shared" si="1"/>
        <v>493220.26637219661</v>
      </c>
    </row>
    <row r="32" spans="1:5">
      <c r="A32" s="120">
        <f t="shared" si="2"/>
        <v>30</v>
      </c>
      <c r="B32" s="1">
        <f>PMT(CFs!$B$7/12,CFs!$B$8,CFs!$B$6)</f>
        <v>-3698.1734523520558</v>
      </c>
      <c r="C32" s="2">
        <f>-E31*CFs!$B$7/12</f>
        <v>-3288.1351091479773</v>
      </c>
      <c r="D32" s="1">
        <f t="shared" si="0"/>
        <v>-410.0383432040785</v>
      </c>
      <c r="E32" s="1">
        <f t="shared" si="1"/>
        <v>492810.22802899254</v>
      </c>
    </row>
    <row r="33" spans="1:5">
      <c r="A33" s="120">
        <f t="shared" si="2"/>
        <v>31</v>
      </c>
      <c r="B33" s="1">
        <f>PMT(CFs!$B$7/12,CFs!$B$8,CFs!$B$6)</f>
        <v>-3698.1734523520558</v>
      </c>
      <c r="C33" s="2">
        <f>-E32*CFs!$B$7/12</f>
        <v>-3285.4015201932834</v>
      </c>
      <c r="D33" s="1">
        <f t="shared" si="0"/>
        <v>-412.77193215877242</v>
      </c>
      <c r="E33" s="1">
        <f t="shared" si="1"/>
        <v>492397.45609683375</v>
      </c>
    </row>
    <row r="34" spans="1:5">
      <c r="A34" s="120">
        <f t="shared" si="2"/>
        <v>32</v>
      </c>
      <c r="B34" s="1">
        <f>PMT(CFs!$B$7/12,CFs!$B$8,CFs!$B$6)</f>
        <v>-3698.1734523520558</v>
      </c>
      <c r="C34" s="2">
        <f>-E33*CFs!$B$7/12</f>
        <v>-3282.649707312225</v>
      </c>
      <c r="D34" s="1">
        <f t="shared" si="0"/>
        <v>-415.52374503983083</v>
      </c>
      <c r="E34" s="1">
        <f t="shared" si="1"/>
        <v>491981.93235179392</v>
      </c>
    </row>
    <row r="35" spans="1:5">
      <c r="A35" s="120">
        <f t="shared" si="2"/>
        <v>33</v>
      </c>
      <c r="B35" s="1">
        <f>PMT(CFs!$B$7/12,CFs!$B$8,CFs!$B$6)</f>
        <v>-3698.1734523520558</v>
      </c>
      <c r="C35" s="2">
        <f>-E34*CFs!$B$7/12</f>
        <v>-3279.8795490119596</v>
      </c>
      <c r="D35" s="1">
        <f t="shared" si="0"/>
        <v>-418.29390334009622</v>
      </c>
      <c r="E35" s="1">
        <f t="shared" si="1"/>
        <v>491563.6384484538</v>
      </c>
    </row>
    <row r="36" spans="1:5">
      <c r="A36" s="120">
        <f t="shared" si="2"/>
        <v>34</v>
      </c>
      <c r="B36" s="1">
        <f>PMT(CFs!$B$7/12,CFs!$B$8,CFs!$B$6)</f>
        <v>-3698.1734523520558</v>
      </c>
      <c r="C36" s="2">
        <f>-E35*CFs!$B$7/12</f>
        <v>-3277.090922989692</v>
      </c>
      <c r="D36" s="1">
        <f t="shared" si="0"/>
        <v>-421.08252936236386</v>
      </c>
      <c r="E36" s="1">
        <f t="shared" si="1"/>
        <v>491142.55591909145</v>
      </c>
    </row>
    <row r="37" spans="1:5">
      <c r="A37" s="120">
        <f t="shared" si="2"/>
        <v>35</v>
      </c>
      <c r="B37" s="1">
        <f>PMT(CFs!$B$7/12,CFs!$B$8,CFs!$B$6)</f>
        <v>-3698.1734523520558</v>
      </c>
      <c r="C37" s="2">
        <f>-E36*CFs!$B$7/12</f>
        <v>-3274.2837061272767</v>
      </c>
      <c r="D37" s="1">
        <f t="shared" si="0"/>
        <v>-423.88974622477917</v>
      </c>
      <c r="E37" s="1">
        <f t="shared" si="1"/>
        <v>490718.66617286665</v>
      </c>
    </row>
    <row r="38" spans="1:5">
      <c r="A38" s="120">
        <f t="shared" si="2"/>
        <v>36</v>
      </c>
      <c r="B38" s="1">
        <f>PMT(CFs!$B$7/12,CFs!$B$8,CFs!$B$6)</f>
        <v>-3698.1734523520558</v>
      </c>
      <c r="C38" s="2">
        <f>-E37*CFs!$B$7/12</f>
        <v>-3271.4577744857779</v>
      </c>
      <c r="D38" s="1">
        <f t="shared" si="0"/>
        <v>-426.71567786627793</v>
      </c>
      <c r="E38" s="1">
        <f t="shared" si="1"/>
        <v>490291.95049500035</v>
      </c>
    </row>
    <row r="39" spans="1:5">
      <c r="A39" s="120">
        <f t="shared" si="2"/>
        <v>37</v>
      </c>
      <c r="B39" s="1">
        <f>PMT(CFs!$B$7/12,CFs!$B$8,CFs!$B$6)</f>
        <v>-3698.1734523520558</v>
      </c>
      <c r="C39" s="2">
        <f>-E38*CFs!$B$7/12</f>
        <v>-3268.6130033000027</v>
      </c>
      <c r="D39" s="1">
        <f t="shared" si="0"/>
        <v>-429.56044905205317</v>
      </c>
      <c r="E39" s="1">
        <f t="shared" si="1"/>
        <v>489862.39004594827</v>
      </c>
    </row>
    <row r="40" spans="1:5">
      <c r="A40" s="120">
        <f t="shared" si="2"/>
        <v>38</v>
      </c>
      <c r="B40" s="1">
        <f>PMT(CFs!$B$7/12,CFs!$B$8,CFs!$B$6)</f>
        <v>-3698.1734523520558</v>
      </c>
      <c r="C40" s="2">
        <f>-E39*CFs!$B$7/12</f>
        <v>-3265.7492669729886</v>
      </c>
      <c r="D40" s="1">
        <f t="shared" si="0"/>
        <v>-432.42418537906724</v>
      </c>
      <c r="E40" s="1">
        <f t="shared" si="1"/>
        <v>489429.96586056921</v>
      </c>
    </row>
    <row r="41" spans="1:5">
      <c r="A41" s="120">
        <f t="shared" si="2"/>
        <v>39</v>
      </c>
      <c r="B41" s="1">
        <f>PMT(CFs!$B$7/12,CFs!$B$8,CFs!$B$6)</f>
        <v>-3698.1734523520558</v>
      </c>
      <c r="C41" s="2">
        <f>-E40*CFs!$B$7/12</f>
        <v>-3262.8664390704616</v>
      </c>
      <c r="D41" s="1">
        <f t="shared" si="0"/>
        <v>-435.30701328159421</v>
      </c>
      <c r="E41" s="1">
        <f t="shared" si="1"/>
        <v>488994.65884728759</v>
      </c>
    </row>
    <row r="42" spans="1:5">
      <c r="A42" s="120">
        <f t="shared" si="2"/>
        <v>40</v>
      </c>
      <c r="B42" s="1">
        <f>PMT(CFs!$B$7/12,CFs!$B$8,CFs!$B$6)</f>
        <v>-3698.1734523520558</v>
      </c>
      <c r="C42" s="2">
        <f>-E41*CFs!$B$7/12</f>
        <v>-3259.9643923152507</v>
      </c>
      <c r="D42" s="1">
        <f t="shared" si="0"/>
        <v>-438.20906003680511</v>
      </c>
      <c r="E42" s="1">
        <f t="shared" si="1"/>
        <v>488556.44978725078</v>
      </c>
    </row>
    <row r="43" spans="1:5">
      <c r="A43" s="120">
        <f t="shared" si="2"/>
        <v>41</v>
      </c>
      <c r="B43" s="1">
        <f>PMT(CFs!$B$7/12,CFs!$B$8,CFs!$B$6)</f>
        <v>-3698.1734523520558</v>
      </c>
      <c r="C43" s="2">
        <f>-E42*CFs!$B$7/12</f>
        <v>-3257.0429985816718</v>
      </c>
      <c r="D43" s="1">
        <f t="shared" si="0"/>
        <v>-441.13045377038407</v>
      </c>
      <c r="E43" s="1">
        <f t="shared" si="1"/>
        <v>488115.31933348038</v>
      </c>
    </row>
    <row r="44" spans="1:5">
      <c r="A44" s="120">
        <f t="shared" si="2"/>
        <v>42</v>
      </c>
      <c r="B44" s="1">
        <f>PMT(CFs!$B$7/12,CFs!$B$8,CFs!$B$6)</f>
        <v>-3698.1734523520558</v>
      </c>
      <c r="C44" s="2">
        <f>-E43*CFs!$B$7/12</f>
        <v>-3254.1021288898696</v>
      </c>
      <c r="D44" s="1">
        <f t="shared" si="0"/>
        <v>-444.07132346218623</v>
      </c>
      <c r="E44" s="1">
        <f t="shared" si="1"/>
        <v>487671.2480100182</v>
      </c>
    </row>
    <row r="45" spans="1:5">
      <c r="A45" s="120">
        <f t="shared" si="2"/>
        <v>43</v>
      </c>
      <c r="B45" s="1">
        <f>PMT(CFs!$B$7/12,CFs!$B$8,CFs!$B$6)</f>
        <v>-3698.1734523520558</v>
      </c>
      <c r="C45" s="2">
        <f>-E44*CFs!$B$7/12</f>
        <v>-3251.1416534001214</v>
      </c>
      <c r="D45" s="1">
        <f t="shared" si="0"/>
        <v>-447.03179895193443</v>
      </c>
      <c r="E45" s="1">
        <f t="shared" si="1"/>
        <v>487224.21621106629</v>
      </c>
    </row>
    <row r="46" spans="1:5">
      <c r="A46" s="120">
        <f t="shared" si="2"/>
        <v>44</v>
      </c>
      <c r="B46" s="1">
        <f>PMT(CFs!$B$7/12,CFs!$B$8,CFs!$B$6)</f>
        <v>-3698.1734523520558</v>
      </c>
      <c r="C46" s="2">
        <f>-E45*CFs!$B$7/12</f>
        <v>-3248.1614414071087</v>
      </c>
      <c r="D46" s="1">
        <f t="shared" si="0"/>
        <v>-450.01201094494718</v>
      </c>
      <c r="E46" s="1">
        <f t="shared" si="1"/>
        <v>486774.20420012134</v>
      </c>
    </row>
    <row r="47" spans="1:5">
      <c r="A47" s="120">
        <f t="shared" si="2"/>
        <v>45</v>
      </c>
      <c r="B47" s="1">
        <f>PMT(CFs!$B$7/12,CFs!$B$8,CFs!$B$6)</f>
        <v>-3698.1734523520558</v>
      </c>
      <c r="C47" s="2">
        <f>-E46*CFs!$B$7/12</f>
        <v>-3245.1613613341419</v>
      </c>
      <c r="D47" s="1">
        <f t="shared" si="0"/>
        <v>-453.01209101791392</v>
      </c>
      <c r="E47" s="1">
        <f t="shared" si="1"/>
        <v>486321.19210910343</v>
      </c>
    </row>
    <row r="48" spans="1:5">
      <c r="A48" s="120">
        <f t="shared" si="2"/>
        <v>46</v>
      </c>
      <c r="B48" s="1">
        <f>PMT(CFs!$B$7/12,CFs!$B$8,CFs!$B$6)</f>
        <v>-3698.1734523520558</v>
      </c>
      <c r="C48" s="2">
        <f>-E47*CFs!$B$7/12</f>
        <v>-3242.1412807273559</v>
      </c>
      <c r="D48" s="1">
        <f t="shared" si="0"/>
        <v>-456.03217162469991</v>
      </c>
      <c r="E48" s="1">
        <f t="shared" si="1"/>
        <v>485865.15993747872</v>
      </c>
    </row>
    <row r="49" spans="1:5">
      <c r="A49" s="120">
        <f t="shared" si="2"/>
        <v>47</v>
      </c>
      <c r="B49" s="1">
        <f>PMT(CFs!$B$7/12,CFs!$B$8,CFs!$B$6)</f>
        <v>-3698.1734523520558</v>
      </c>
      <c r="C49" s="2">
        <f>-E48*CFs!$B$7/12</f>
        <v>-3239.1010662498579</v>
      </c>
      <c r="D49" s="1">
        <f t="shared" si="0"/>
        <v>-459.07238610219792</v>
      </c>
      <c r="E49" s="1">
        <f t="shared" si="1"/>
        <v>485406.08755137655</v>
      </c>
    </row>
    <row r="50" spans="1:5">
      <c r="A50" s="120">
        <f t="shared" si="2"/>
        <v>48</v>
      </c>
      <c r="B50" s="1">
        <f>PMT(CFs!$B$7/12,CFs!$B$8,CFs!$B$6)</f>
        <v>-3698.1734523520558</v>
      </c>
      <c r="C50" s="2">
        <f>-E49*CFs!$B$7/12</f>
        <v>-3236.0405836758437</v>
      </c>
      <c r="D50" s="1">
        <f t="shared" si="0"/>
        <v>-462.13286867621218</v>
      </c>
      <c r="E50" s="1">
        <f t="shared" si="1"/>
        <v>484943.95468270034</v>
      </c>
    </row>
    <row r="51" spans="1:5">
      <c r="A51" s="120">
        <f t="shared" si="2"/>
        <v>49</v>
      </c>
      <c r="B51" s="1">
        <f>PMT(CFs!$B$7/12,CFs!$B$8,CFs!$B$6)</f>
        <v>-3698.1734523520558</v>
      </c>
      <c r="C51" s="2">
        <f>-E50*CFs!$B$7/12</f>
        <v>-3232.9596978846689</v>
      </c>
      <c r="D51" s="1">
        <f t="shared" si="0"/>
        <v>-465.21375446738693</v>
      </c>
      <c r="E51" s="1">
        <f t="shared" si="1"/>
        <v>484478.74092823296</v>
      </c>
    </row>
    <row r="52" spans="1:5">
      <c r="A52" s="120">
        <f t="shared" si="2"/>
        <v>50</v>
      </c>
      <c r="B52" s="1">
        <f>PMT(CFs!$B$7/12,CFs!$B$8,CFs!$B$6)</f>
        <v>-3698.1734523520558</v>
      </c>
      <c r="C52" s="2">
        <f>-E51*CFs!$B$7/12</f>
        <v>-3229.8582728548863</v>
      </c>
      <c r="D52" s="1">
        <f t="shared" si="0"/>
        <v>-468.31517949716954</v>
      </c>
      <c r="E52" s="1">
        <f t="shared" si="1"/>
        <v>484010.42574873578</v>
      </c>
    </row>
    <row r="53" spans="1:5">
      <c r="A53" s="120">
        <f t="shared" si="2"/>
        <v>51</v>
      </c>
      <c r="B53" s="1">
        <f>PMT(CFs!$B$7/12,CFs!$B$8,CFs!$B$6)</f>
        <v>-3698.1734523520558</v>
      </c>
      <c r="C53" s="2">
        <f>-E52*CFs!$B$7/12</f>
        <v>-3226.7361716582386</v>
      </c>
      <c r="D53" s="1">
        <f t="shared" ref="D53:D116" si="3">B53-C53</f>
        <v>-471.43728069381723</v>
      </c>
      <c r="E53" s="1">
        <f t="shared" ref="E53:E116" si="4">E52+D53</f>
        <v>483538.98846804199</v>
      </c>
    </row>
    <row r="54" spans="1:5">
      <c r="A54" s="120">
        <f t="shared" si="2"/>
        <v>52</v>
      </c>
      <c r="B54" s="1">
        <f>PMT(CFs!$B$7/12,CFs!$B$8,CFs!$B$6)</f>
        <v>-3698.1734523520558</v>
      </c>
      <c r="C54" s="2">
        <f>-E53*CFs!$B$7/12</f>
        <v>-3223.5932564536138</v>
      </c>
      <c r="D54" s="1">
        <f t="shared" si="3"/>
        <v>-474.58019589844207</v>
      </c>
      <c r="E54" s="1">
        <f t="shared" si="4"/>
        <v>483064.40827214357</v>
      </c>
    </row>
    <row r="55" spans="1:5">
      <c r="A55" s="120">
        <f t="shared" si="2"/>
        <v>53</v>
      </c>
      <c r="B55" s="1">
        <f>PMT(CFs!$B$7/12,CFs!$B$8,CFs!$B$6)</f>
        <v>-3698.1734523520558</v>
      </c>
      <c r="C55" s="2">
        <f>-E54*CFs!$B$7/12</f>
        <v>-3220.4293884809572</v>
      </c>
      <c r="D55" s="1">
        <f t="shared" si="3"/>
        <v>-477.74406387109866</v>
      </c>
      <c r="E55" s="1">
        <f t="shared" si="4"/>
        <v>482586.66420827247</v>
      </c>
    </row>
    <row r="56" spans="1:5">
      <c r="A56" s="120">
        <f t="shared" si="2"/>
        <v>54</v>
      </c>
      <c r="B56" s="1">
        <f>PMT(CFs!$B$7/12,CFs!$B$8,CFs!$B$6)</f>
        <v>-3698.1734523520558</v>
      </c>
      <c r="C56" s="2">
        <f>-E55*CFs!$B$7/12</f>
        <v>-3217.2444280551499</v>
      </c>
      <c r="D56" s="1">
        <f t="shared" si="3"/>
        <v>-480.92902429690594</v>
      </c>
      <c r="E56" s="1">
        <f t="shared" si="4"/>
        <v>482105.73518397554</v>
      </c>
    </row>
    <row r="57" spans="1:5">
      <c r="A57" s="120">
        <f t="shared" si="2"/>
        <v>55</v>
      </c>
      <c r="B57" s="1">
        <f>PMT(CFs!$B$7/12,CFs!$B$8,CFs!$B$6)</f>
        <v>-3698.1734523520558</v>
      </c>
      <c r="C57" s="2">
        <f>-E56*CFs!$B$7/12</f>
        <v>-3214.0382345598373</v>
      </c>
      <c r="D57" s="1">
        <f t="shared" si="3"/>
        <v>-484.13521779221855</v>
      </c>
      <c r="E57" s="1">
        <f t="shared" si="4"/>
        <v>481621.5999661833</v>
      </c>
    </row>
    <row r="58" spans="1:5">
      <c r="A58" s="120">
        <f t="shared" si="2"/>
        <v>56</v>
      </c>
      <c r="B58" s="1">
        <f>PMT(CFs!$B$7/12,CFs!$B$8,CFs!$B$6)</f>
        <v>-3698.1734523520558</v>
      </c>
      <c r="C58" s="2">
        <f>-E57*CFs!$B$7/12</f>
        <v>-3210.8106664412221</v>
      </c>
      <c r="D58" s="1">
        <f t="shared" si="3"/>
        <v>-487.36278591083374</v>
      </c>
      <c r="E58" s="1">
        <f t="shared" si="4"/>
        <v>481134.23718027247</v>
      </c>
    </row>
    <row r="59" spans="1:5">
      <c r="A59" s="120">
        <f t="shared" si="2"/>
        <v>57</v>
      </c>
      <c r="B59" s="1">
        <f>PMT(CFs!$B$7/12,CFs!$B$8,CFs!$B$6)</f>
        <v>-3698.1734523520558</v>
      </c>
      <c r="C59" s="2">
        <f>-E58*CFs!$B$7/12</f>
        <v>-3207.5615812018168</v>
      </c>
      <c r="D59" s="1">
        <f t="shared" si="3"/>
        <v>-490.61187115023904</v>
      </c>
      <c r="E59" s="1">
        <f t="shared" si="4"/>
        <v>480643.6253091222</v>
      </c>
    </row>
    <row r="60" spans="1:5">
      <c r="A60" s="120">
        <f t="shared" si="2"/>
        <v>58</v>
      </c>
      <c r="B60" s="1">
        <f>PMT(CFs!$B$7/12,CFs!$B$8,CFs!$B$6)</f>
        <v>-3698.1734523520558</v>
      </c>
      <c r="C60" s="2">
        <f>-E59*CFs!$B$7/12</f>
        <v>-3204.290835394148</v>
      </c>
      <c r="D60" s="1">
        <f t="shared" si="3"/>
        <v>-493.88261695790789</v>
      </c>
      <c r="E60" s="1">
        <f t="shared" si="4"/>
        <v>480149.74269216432</v>
      </c>
    </row>
    <row r="61" spans="1:5">
      <c r="A61" s="120">
        <f t="shared" si="2"/>
        <v>59</v>
      </c>
      <c r="B61" s="1">
        <f>PMT(CFs!$B$7/12,CFs!$B$8,CFs!$B$6)</f>
        <v>-3698.1734523520558</v>
      </c>
      <c r="C61" s="2">
        <f>-E60*CFs!$B$7/12</f>
        <v>-3200.9982846144289</v>
      </c>
      <c r="D61" s="1">
        <f t="shared" si="3"/>
        <v>-497.17516773762691</v>
      </c>
      <c r="E61" s="1">
        <f t="shared" si="4"/>
        <v>479652.56752442667</v>
      </c>
    </row>
    <row r="62" spans="1:5">
      <c r="A62" s="120">
        <f t="shared" si="2"/>
        <v>60</v>
      </c>
      <c r="B62" s="1">
        <f>PMT(CFs!$B$7/12,CFs!$B$8,CFs!$B$6)</f>
        <v>-3698.1734523520558</v>
      </c>
      <c r="C62" s="2">
        <f>-E61*CFs!$B$7/12</f>
        <v>-3197.6837834961775</v>
      </c>
      <c r="D62" s="1">
        <f t="shared" si="3"/>
        <v>-500.48966885587834</v>
      </c>
      <c r="E62" s="1">
        <f t="shared" si="4"/>
        <v>479152.07785557082</v>
      </c>
    </row>
    <row r="63" spans="1:5">
      <c r="A63" s="120">
        <f t="shared" si="2"/>
        <v>61</v>
      </c>
      <c r="B63" s="1">
        <f>PMT(CFs!$B$7/12,CFs!$B$8,CFs!$B$6)</f>
        <v>-3698.1734523520558</v>
      </c>
      <c r="C63" s="2">
        <f>-E62*CFs!$B$7/12</f>
        <v>-3194.3471857038057</v>
      </c>
      <c r="D63" s="1">
        <f t="shared" si="3"/>
        <v>-503.82626664825011</v>
      </c>
      <c r="E63" s="1">
        <f t="shared" si="4"/>
        <v>478648.25158892258</v>
      </c>
    </row>
    <row r="64" spans="1:5">
      <c r="A64" s="120">
        <f t="shared" si="2"/>
        <v>62</v>
      </c>
      <c r="B64" s="1">
        <f>PMT(CFs!$B$7/12,CFs!$B$8,CFs!$B$6)</f>
        <v>-3698.1734523520558</v>
      </c>
      <c r="C64" s="2">
        <f>-E63*CFs!$B$7/12</f>
        <v>-3190.9883439261507</v>
      </c>
      <c r="D64" s="1">
        <f t="shared" si="3"/>
        <v>-507.18510842590513</v>
      </c>
      <c r="E64" s="1">
        <f t="shared" si="4"/>
        <v>478141.06648049667</v>
      </c>
    </row>
    <row r="65" spans="1:5">
      <c r="A65" s="120">
        <f t="shared" si="2"/>
        <v>63</v>
      </c>
      <c r="B65" s="1">
        <f>PMT(CFs!$B$7/12,CFs!$B$8,CFs!$B$6)</f>
        <v>-3698.1734523520558</v>
      </c>
      <c r="C65" s="2">
        <f>-E64*CFs!$B$7/12</f>
        <v>-3187.6071098699776</v>
      </c>
      <c r="D65" s="1">
        <f t="shared" si="3"/>
        <v>-510.5663424820782</v>
      </c>
      <c r="E65" s="1">
        <f t="shared" si="4"/>
        <v>477630.50013801461</v>
      </c>
    </row>
    <row r="66" spans="1:5">
      <c r="A66" s="120">
        <f t="shared" si="2"/>
        <v>64</v>
      </c>
      <c r="B66" s="1">
        <f>PMT(CFs!$B$7/12,CFs!$B$8,CFs!$B$6)</f>
        <v>-3698.1734523520558</v>
      </c>
      <c r="C66" s="2">
        <f>-E65*CFs!$B$7/12</f>
        <v>-3184.203334253431</v>
      </c>
      <c r="D66" s="1">
        <f t="shared" si="3"/>
        <v>-513.97011809862488</v>
      </c>
      <c r="E66" s="1">
        <f t="shared" si="4"/>
        <v>477116.53001991601</v>
      </c>
    </row>
    <row r="67" spans="1:5">
      <c r="A67" s="120">
        <f t="shared" si="2"/>
        <v>65</v>
      </c>
      <c r="B67" s="1">
        <f>PMT(CFs!$B$7/12,CFs!$B$8,CFs!$B$6)</f>
        <v>-3698.1734523520558</v>
      </c>
      <c r="C67" s="2">
        <f>-E66*CFs!$B$7/12</f>
        <v>-3180.7768667994401</v>
      </c>
      <c r="D67" s="1">
        <f t="shared" si="3"/>
        <v>-517.39658555261576</v>
      </c>
      <c r="E67" s="1">
        <f t="shared" si="4"/>
        <v>476599.13343436341</v>
      </c>
    </row>
    <row r="68" spans="1:5">
      <c r="A68" s="120">
        <f t="shared" si="2"/>
        <v>66</v>
      </c>
      <c r="B68" s="1">
        <f>PMT(CFs!$B$7/12,CFs!$B$8,CFs!$B$6)</f>
        <v>-3698.1734523520558</v>
      </c>
      <c r="C68" s="2">
        <f>-E67*CFs!$B$7/12</f>
        <v>-3177.3275562290892</v>
      </c>
      <c r="D68" s="1">
        <f t="shared" si="3"/>
        <v>-520.84589612296668</v>
      </c>
      <c r="E68" s="1">
        <f t="shared" si="4"/>
        <v>476078.28753824043</v>
      </c>
    </row>
    <row r="69" spans="1:5">
      <c r="A69" s="120">
        <f t="shared" ref="A69:A132" si="5">A68+1</f>
        <v>67</v>
      </c>
      <c r="B69" s="1">
        <f>PMT(CFs!$B$7/12,CFs!$B$8,CFs!$B$6)</f>
        <v>-3698.1734523520558</v>
      </c>
      <c r="C69" s="2">
        <f>-E68*CFs!$B$7/12</f>
        <v>-3173.855250254936</v>
      </c>
      <c r="D69" s="1">
        <f t="shared" si="3"/>
        <v>-524.31820209711987</v>
      </c>
      <c r="E69" s="1">
        <f t="shared" si="4"/>
        <v>475553.96933614329</v>
      </c>
    </row>
    <row r="70" spans="1:5">
      <c r="A70" s="120">
        <f t="shared" si="5"/>
        <v>68</v>
      </c>
      <c r="B70" s="1">
        <f>PMT(CFs!$B$7/12,CFs!$B$8,CFs!$B$6)</f>
        <v>-3698.1734523520558</v>
      </c>
      <c r="C70" s="2">
        <f>-E69*CFs!$B$7/12</f>
        <v>-3170.3597955742885</v>
      </c>
      <c r="D70" s="1">
        <f t="shared" si="3"/>
        <v>-527.81365677776739</v>
      </c>
      <c r="E70" s="1">
        <f t="shared" si="4"/>
        <v>475026.1556793655</v>
      </c>
    </row>
    <row r="71" spans="1:5">
      <c r="A71" s="120">
        <f t="shared" si="5"/>
        <v>69</v>
      </c>
      <c r="B71" s="1">
        <f>PMT(CFs!$B$7/12,CFs!$B$8,CFs!$B$6)</f>
        <v>-3698.1734523520558</v>
      </c>
      <c r="C71" s="2">
        <f>-E70*CFs!$B$7/12</f>
        <v>-3166.8410378624371</v>
      </c>
      <c r="D71" s="1">
        <f t="shared" si="3"/>
        <v>-531.33241448961871</v>
      </c>
      <c r="E71" s="1">
        <f t="shared" si="4"/>
        <v>474494.82326487586</v>
      </c>
    </row>
    <row r="72" spans="1:5">
      <c r="A72" s="120">
        <f t="shared" si="5"/>
        <v>70</v>
      </c>
      <c r="B72" s="1">
        <f>PMT(CFs!$B$7/12,CFs!$B$8,CFs!$B$6)</f>
        <v>-3698.1734523520558</v>
      </c>
      <c r="C72" s="2">
        <f>-E71*CFs!$B$7/12</f>
        <v>-3163.298821765839</v>
      </c>
      <c r="D72" s="1">
        <f t="shared" si="3"/>
        <v>-534.87463058621688</v>
      </c>
      <c r="E72" s="1">
        <f t="shared" si="4"/>
        <v>473959.94863428961</v>
      </c>
    </row>
    <row r="73" spans="1:5">
      <c r="A73" s="120">
        <f t="shared" si="5"/>
        <v>71</v>
      </c>
      <c r="B73" s="1">
        <f>PMT(CFs!$B$7/12,CFs!$B$8,CFs!$B$6)</f>
        <v>-3698.1734523520558</v>
      </c>
      <c r="C73" s="2">
        <f>-E72*CFs!$B$7/12</f>
        <v>-3159.7329908952638</v>
      </c>
      <c r="D73" s="1">
        <f t="shared" si="3"/>
        <v>-538.44046145679204</v>
      </c>
      <c r="E73" s="1">
        <f t="shared" si="4"/>
        <v>473421.50817283284</v>
      </c>
    </row>
    <row r="74" spans="1:5">
      <c r="A74" s="120">
        <f t="shared" si="5"/>
        <v>72</v>
      </c>
      <c r="B74" s="1">
        <f>PMT(CFs!$B$7/12,CFs!$B$8,CFs!$B$6)</f>
        <v>-3698.1734523520558</v>
      </c>
      <c r="C74" s="2">
        <f>-E73*CFs!$B$7/12</f>
        <v>-3156.1433878188855</v>
      </c>
      <c r="D74" s="1">
        <f t="shared" si="3"/>
        <v>-542.03006453317039</v>
      </c>
      <c r="E74" s="1">
        <f t="shared" si="4"/>
        <v>472879.47810829966</v>
      </c>
    </row>
    <row r="75" spans="1:5">
      <c r="A75" s="120">
        <f t="shared" si="5"/>
        <v>73</v>
      </c>
      <c r="B75" s="1">
        <f>PMT(CFs!$B$7/12,CFs!$B$8,CFs!$B$6)</f>
        <v>-3698.1734523520558</v>
      </c>
      <c r="C75" s="2">
        <f>-E74*CFs!$B$7/12</f>
        <v>-3152.5298540553308</v>
      </c>
      <c r="D75" s="1">
        <f t="shared" si="3"/>
        <v>-545.64359829672503</v>
      </c>
      <c r="E75" s="1">
        <f t="shared" si="4"/>
        <v>472333.83451000293</v>
      </c>
    </row>
    <row r="76" spans="1:5">
      <c r="A76" s="120">
        <f t="shared" si="5"/>
        <v>74</v>
      </c>
      <c r="B76" s="1">
        <f>PMT(CFs!$B$7/12,CFs!$B$8,CFs!$B$6)</f>
        <v>-3698.1734523520558</v>
      </c>
      <c r="C76" s="2">
        <f>-E75*CFs!$B$7/12</f>
        <v>-3148.8922300666859</v>
      </c>
      <c r="D76" s="1">
        <f t="shared" si="3"/>
        <v>-549.28122228536995</v>
      </c>
      <c r="E76" s="1">
        <f t="shared" si="4"/>
        <v>471784.55328771757</v>
      </c>
    </row>
    <row r="77" spans="1:5">
      <c r="A77" s="120">
        <f t="shared" si="5"/>
        <v>75</v>
      </c>
      <c r="B77" s="1">
        <f>PMT(CFs!$B$7/12,CFs!$B$8,CFs!$B$6)</f>
        <v>-3698.1734523520558</v>
      </c>
      <c r="C77" s="2">
        <f>-E76*CFs!$B$7/12</f>
        <v>-3145.2303552514509</v>
      </c>
      <c r="D77" s="1">
        <f t="shared" si="3"/>
        <v>-552.94309710060497</v>
      </c>
      <c r="E77" s="1">
        <f t="shared" si="4"/>
        <v>471231.61019061698</v>
      </c>
    </row>
    <row r="78" spans="1:5">
      <c r="A78" s="120">
        <f t="shared" si="5"/>
        <v>76</v>
      </c>
      <c r="B78" s="1">
        <f>PMT(CFs!$B$7/12,CFs!$B$8,CFs!$B$6)</f>
        <v>-3698.1734523520558</v>
      </c>
      <c r="C78" s="2">
        <f>-E77*CFs!$B$7/12</f>
        <v>-3141.5440679374465</v>
      </c>
      <c r="D78" s="1">
        <f t="shared" si="3"/>
        <v>-556.62938441460938</v>
      </c>
      <c r="E78" s="1">
        <f t="shared" si="4"/>
        <v>470674.98080620239</v>
      </c>
    </row>
    <row r="79" spans="1:5">
      <c r="A79" s="120">
        <f t="shared" si="5"/>
        <v>77</v>
      </c>
      <c r="B79" s="1">
        <f>PMT(CFs!$B$7/12,CFs!$B$8,CFs!$B$6)</f>
        <v>-3698.1734523520558</v>
      </c>
      <c r="C79" s="2">
        <f>-E78*CFs!$B$7/12</f>
        <v>-3137.8332053746831</v>
      </c>
      <c r="D79" s="1">
        <f t="shared" si="3"/>
        <v>-560.34024697737277</v>
      </c>
      <c r="E79" s="1">
        <f t="shared" si="4"/>
        <v>470114.64055922499</v>
      </c>
    </row>
    <row r="80" spans="1:5">
      <c r="A80" s="120">
        <f t="shared" si="5"/>
        <v>78</v>
      </c>
      <c r="B80" s="1">
        <f>PMT(CFs!$B$7/12,CFs!$B$8,CFs!$B$6)</f>
        <v>-3698.1734523520558</v>
      </c>
      <c r="C80" s="2">
        <f>-E79*CFs!$B$7/12</f>
        <v>-3134.0976037281666</v>
      </c>
      <c r="D80" s="1">
        <f t="shared" si="3"/>
        <v>-564.07584862388921</v>
      </c>
      <c r="E80" s="1">
        <f t="shared" si="4"/>
        <v>469550.56471060112</v>
      </c>
    </row>
    <row r="81" spans="1:5">
      <c r="A81" s="120">
        <f t="shared" si="5"/>
        <v>79</v>
      </c>
      <c r="B81" s="1">
        <f>PMT(CFs!$B$7/12,CFs!$B$8,CFs!$B$6)</f>
        <v>-3698.1734523520558</v>
      </c>
      <c r="C81" s="2">
        <f>-E80*CFs!$B$7/12</f>
        <v>-3130.3370980706745</v>
      </c>
      <c r="D81" s="1">
        <f t="shared" si="3"/>
        <v>-567.83635428138132</v>
      </c>
      <c r="E81" s="1">
        <f t="shared" si="4"/>
        <v>468982.72835631971</v>
      </c>
    </row>
    <row r="82" spans="1:5">
      <c r="A82" s="120">
        <f t="shared" si="5"/>
        <v>80</v>
      </c>
      <c r="B82" s="1">
        <f>PMT(CFs!$B$7/12,CFs!$B$8,CFs!$B$6)</f>
        <v>-3698.1734523520558</v>
      </c>
      <c r="C82" s="2">
        <f>-E81*CFs!$B$7/12</f>
        <v>-3126.5515223754646</v>
      </c>
      <c r="D82" s="1">
        <f t="shared" si="3"/>
        <v>-571.62192997659122</v>
      </c>
      <c r="E82" s="1">
        <f t="shared" si="4"/>
        <v>468411.10642634315</v>
      </c>
    </row>
    <row r="83" spans="1:5">
      <c r="A83" s="120">
        <f t="shared" si="5"/>
        <v>81</v>
      </c>
      <c r="B83" s="1">
        <f>PMT(CFs!$B$7/12,CFs!$B$8,CFs!$B$6)</f>
        <v>-3698.1734523520558</v>
      </c>
      <c r="C83" s="2">
        <f>-E82*CFs!$B$7/12</f>
        <v>-3122.7407095089543</v>
      </c>
      <c r="D83" s="1">
        <f t="shared" si="3"/>
        <v>-575.43274284310155</v>
      </c>
      <c r="E83" s="1">
        <f t="shared" si="4"/>
        <v>467835.67368350003</v>
      </c>
    </row>
    <row r="84" spans="1:5">
      <c r="A84" s="120">
        <f t="shared" si="5"/>
        <v>82</v>
      </c>
      <c r="B84" s="1">
        <f>PMT(CFs!$B$7/12,CFs!$B$8,CFs!$B$6)</f>
        <v>-3698.1734523520558</v>
      </c>
      <c r="C84" s="2">
        <f>-E83*CFs!$B$7/12</f>
        <v>-3118.9044912233335</v>
      </c>
      <c r="D84" s="1">
        <f t="shared" si="3"/>
        <v>-579.26896112872237</v>
      </c>
      <c r="E84" s="1">
        <f t="shared" si="4"/>
        <v>467256.40472237131</v>
      </c>
    </row>
    <row r="85" spans="1:5">
      <c r="A85" s="120">
        <f t="shared" si="5"/>
        <v>83</v>
      </c>
      <c r="B85" s="1">
        <f>PMT(CFs!$B$7/12,CFs!$B$8,CFs!$B$6)</f>
        <v>-3698.1734523520558</v>
      </c>
      <c r="C85" s="2">
        <f>-E84*CFs!$B$7/12</f>
        <v>-3115.0426981491419</v>
      </c>
      <c r="D85" s="1">
        <f t="shared" si="3"/>
        <v>-583.13075420291398</v>
      </c>
      <c r="E85" s="1">
        <f t="shared" si="4"/>
        <v>466673.27396816842</v>
      </c>
    </row>
    <row r="86" spans="1:5">
      <c r="A86" s="120">
        <f t="shared" si="5"/>
        <v>84</v>
      </c>
      <c r="B86" s="1">
        <f>PMT(CFs!$B$7/12,CFs!$B$8,CFs!$B$6)</f>
        <v>-3698.1734523520558</v>
      </c>
      <c r="C86" s="2">
        <f>-E85*CFs!$B$7/12</f>
        <v>-3111.1551597877897</v>
      </c>
      <c r="D86" s="1">
        <f t="shared" si="3"/>
        <v>-587.01829256426618</v>
      </c>
      <c r="E86" s="1">
        <f t="shared" si="4"/>
        <v>466086.25567560416</v>
      </c>
    </row>
    <row r="87" spans="1:5">
      <c r="A87" s="120">
        <f t="shared" si="5"/>
        <v>85</v>
      </c>
      <c r="B87" s="1">
        <f>PMT(CFs!$B$7/12,CFs!$B$8,CFs!$B$6)</f>
        <v>-3698.1734523520558</v>
      </c>
      <c r="C87" s="2">
        <f>-E86*CFs!$B$7/12</f>
        <v>-3107.2417045040279</v>
      </c>
      <c r="D87" s="1">
        <f t="shared" si="3"/>
        <v>-590.93174784802795</v>
      </c>
      <c r="E87" s="1">
        <f t="shared" si="4"/>
        <v>465495.32392775611</v>
      </c>
    </row>
    <row r="88" spans="1:5">
      <c r="A88" s="120">
        <f t="shared" si="5"/>
        <v>86</v>
      </c>
      <c r="B88" s="1">
        <f>PMT(CFs!$B$7/12,CFs!$B$8,CFs!$B$6)</f>
        <v>-3698.1734523520558</v>
      </c>
      <c r="C88" s="2">
        <f>-E87*CFs!$B$7/12</f>
        <v>-3103.3021595183741</v>
      </c>
      <c r="D88" s="1">
        <f t="shared" si="3"/>
        <v>-594.87129283368176</v>
      </c>
      <c r="E88" s="1">
        <f t="shared" si="4"/>
        <v>464900.4526349224</v>
      </c>
    </row>
    <row r="89" spans="1:5">
      <c r="A89" s="120">
        <f t="shared" si="5"/>
        <v>87</v>
      </c>
      <c r="B89" s="1">
        <f>PMT(CFs!$B$7/12,CFs!$B$8,CFs!$B$6)</f>
        <v>-3698.1734523520558</v>
      </c>
      <c r="C89" s="2">
        <f>-E88*CFs!$B$7/12</f>
        <v>-3099.3363508994826</v>
      </c>
      <c r="D89" s="1">
        <f t="shared" si="3"/>
        <v>-598.83710145257328</v>
      </c>
      <c r="E89" s="1">
        <f t="shared" si="4"/>
        <v>464301.61553346983</v>
      </c>
    </row>
    <row r="90" spans="1:5">
      <c r="A90" s="120">
        <f t="shared" si="5"/>
        <v>88</v>
      </c>
      <c r="B90" s="1">
        <f>PMT(CFs!$B$7/12,CFs!$B$8,CFs!$B$6)</f>
        <v>-3698.1734523520558</v>
      </c>
      <c r="C90" s="2">
        <f>-E89*CFs!$B$7/12</f>
        <v>-3095.3441035564651</v>
      </c>
      <c r="D90" s="1">
        <f t="shared" si="3"/>
        <v>-602.8293487955907</v>
      </c>
      <c r="E90" s="1">
        <f t="shared" si="4"/>
        <v>463698.78618467425</v>
      </c>
    </row>
    <row r="91" spans="1:5">
      <c r="A91" s="120">
        <f t="shared" si="5"/>
        <v>89</v>
      </c>
      <c r="B91" s="1">
        <f>PMT(CFs!$B$7/12,CFs!$B$8,CFs!$B$6)</f>
        <v>-3698.1734523520558</v>
      </c>
      <c r="C91" s="2">
        <f>-E90*CFs!$B$7/12</f>
        <v>-3091.3252412311617</v>
      </c>
      <c r="D91" s="1">
        <f t="shared" si="3"/>
        <v>-606.84821112089412</v>
      </c>
      <c r="E91" s="1">
        <f t="shared" si="4"/>
        <v>463091.93797355337</v>
      </c>
    </row>
    <row r="92" spans="1:5">
      <c r="A92" s="120">
        <f t="shared" si="5"/>
        <v>90</v>
      </c>
      <c r="B92" s="1">
        <f>PMT(CFs!$B$7/12,CFs!$B$8,CFs!$B$6)</f>
        <v>-3698.1734523520558</v>
      </c>
      <c r="C92" s="2">
        <f>-E91*CFs!$B$7/12</f>
        <v>-3087.279586490356</v>
      </c>
      <c r="D92" s="1">
        <f t="shared" si="3"/>
        <v>-610.89386586169985</v>
      </c>
      <c r="E92" s="1">
        <f t="shared" si="4"/>
        <v>462481.04410769168</v>
      </c>
    </row>
    <row r="93" spans="1:5">
      <c r="A93" s="120">
        <f t="shared" si="5"/>
        <v>91</v>
      </c>
      <c r="B93" s="1">
        <f>PMT(CFs!$B$7/12,CFs!$B$8,CFs!$B$6)</f>
        <v>-3698.1734523520558</v>
      </c>
      <c r="C93" s="2">
        <f>-E92*CFs!$B$7/12</f>
        <v>-3083.2069607179442</v>
      </c>
      <c r="D93" s="1">
        <f t="shared" si="3"/>
        <v>-614.96649163411166</v>
      </c>
      <c r="E93" s="1">
        <f t="shared" si="4"/>
        <v>461866.07761605759</v>
      </c>
    </row>
    <row r="94" spans="1:5">
      <c r="A94" s="120">
        <f t="shared" si="5"/>
        <v>92</v>
      </c>
      <c r="B94" s="1">
        <f>PMT(CFs!$B$7/12,CFs!$B$8,CFs!$B$6)</f>
        <v>-3698.1734523520558</v>
      </c>
      <c r="C94" s="2">
        <f>-E93*CFs!$B$7/12</f>
        <v>-3079.1071841070511</v>
      </c>
      <c r="D94" s="1">
        <f t="shared" si="3"/>
        <v>-619.06626824500472</v>
      </c>
      <c r="E94" s="1">
        <f t="shared" si="4"/>
        <v>461247.0113478126</v>
      </c>
    </row>
    <row r="95" spans="1:5">
      <c r="A95" s="120">
        <f t="shared" si="5"/>
        <v>93</v>
      </c>
      <c r="B95" s="1">
        <f>PMT(CFs!$B$7/12,CFs!$B$8,CFs!$B$6)</f>
        <v>-3698.1734523520558</v>
      </c>
      <c r="C95" s="2">
        <f>-E94*CFs!$B$7/12</f>
        <v>-3074.980075652084</v>
      </c>
      <c r="D95" s="1">
        <f t="shared" si="3"/>
        <v>-623.19337669997185</v>
      </c>
      <c r="E95" s="1">
        <f t="shared" si="4"/>
        <v>460623.81797111261</v>
      </c>
    </row>
    <row r="96" spans="1:5">
      <c r="A96" s="120">
        <f t="shared" si="5"/>
        <v>94</v>
      </c>
      <c r="B96" s="1">
        <f>PMT(CFs!$B$7/12,CFs!$B$8,CFs!$B$6)</f>
        <v>-3698.1734523520558</v>
      </c>
      <c r="C96" s="2">
        <f>-E95*CFs!$B$7/12</f>
        <v>-3070.8254531407511</v>
      </c>
      <c r="D96" s="1">
        <f t="shared" si="3"/>
        <v>-627.3479992113048</v>
      </c>
      <c r="E96" s="1">
        <f t="shared" si="4"/>
        <v>459996.46997190133</v>
      </c>
    </row>
    <row r="97" spans="1:5">
      <c r="A97" s="120">
        <f t="shared" si="5"/>
        <v>95</v>
      </c>
      <c r="B97" s="1">
        <f>PMT(CFs!$B$7/12,CFs!$B$8,CFs!$B$6)</f>
        <v>-3698.1734523520558</v>
      </c>
      <c r="C97" s="2">
        <f>-E96*CFs!$B$7/12</f>
        <v>-3066.6431331460085</v>
      </c>
      <c r="D97" s="1">
        <f t="shared" si="3"/>
        <v>-631.53031920604735</v>
      </c>
      <c r="E97" s="1">
        <f t="shared" si="4"/>
        <v>459364.93965269526</v>
      </c>
    </row>
    <row r="98" spans="1:5">
      <c r="A98" s="120">
        <f t="shared" si="5"/>
        <v>96</v>
      </c>
      <c r="B98" s="1">
        <f>PMT(CFs!$B$7/12,CFs!$B$8,CFs!$B$6)</f>
        <v>-3698.1734523520558</v>
      </c>
      <c r="C98" s="2">
        <f>-E97*CFs!$B$7/12</f>
        <v>-3062.4329310179687</v>
      </c>
      <c r="D98" s="1">
        <f t="shared" si="3"/>
        <v>-635.74052133408713</v>
      </c>
      <c r="E98" s="1">
        <f t="shared" si="4"/>
        <v>458729.19913136115</v>
      </c>
    </row>
    <row r="99" spans="1:5">
      <c r="A99" s="120">
        <f t="shared" si="5"/>
        <v>97</v>
      </c>
      <c r="B99" s="1">
        <f>PMT(CFs!$B$7/12,CFs!$B$8,CFs!$B$6)</f>
        <v>-3698.1734523520558</v>
      </c>
      <c r="C99" s="2">
        <f>-E98*CFs!$B$7/12</f>
        <v>-3058.1946608757412</v>
      </c>
      <c r="D99" s="1">
        <f t="shared" si="3"/>
        <v>-639.97879147631465</v>
      </c>
      <c r="E99" s="1">
        <f t="shared" si="4"/>
        <v>458089.22033988487</v>
      </c>
    </row>
    <row r="100" spans="1:5">
      <c r="A100" s="120">
        <f t="shared" si="5"/>
        <v>98</v>
      </c>
      <c r="B100" s="1">
        <f>PMT(CFs!$B$7/12,CFs!$B$8,CFs!$B$6)</f>
        <v>-3698.1734523520558</v>
      </c>
      <c r="C100" s="2">
        <f>-E99*CFs!$B$7/12</f>
        <v>-3053.9281355992321</v>
      </c>
      <c r="D100" s="1">
        <f t="shared" si="3"/>
        <v>-644.24531675282378</v>
      </c>
      <c r="E100" s="1">
        <f t="shared" si="4"/>
        <v>457444.97502313205</v>
      </c>
    </row>
    <row r="101" spans="1:5">
      <c r="A101" s="120">
        <f t="shared" si="5"/>
        <v>99</v>
      </c>
      <c r="B101" s="1">
        <f>PMT(CFs!$B$7/12,CFs!$B$8,CFs!$B$6)</f>
        <v>-3698.1734523520558</v>
      </c>
      <c r="C101" s="2">
        <f>-E100*CFs!$B$7/12</f>
        <v>-3049.6331668208804</v>
      </c>
      <c r="D101" s="1">
        <f t="shared" si="3"/>
        <v>-648.54028553117541</v>
      </c>
      <c r="E101" s="1">
        <f t="shared" si="4"/>
        <v>456796.43473760085</v>
      </c>
    </row>
    <row r="102" spans="1:5">
      <c r="A102" s="120">
        <f t="shared" si="5"/>
        <v>100</v>
      </c>
      <c r="B102" s="1">
        <f>PMT(CFs!$B$7/12,CFs!$B$8,CFs!$B$6)</f>
        <v>-3698.1734523520558</v>
      </c>
      <c r="C102" s="2">
        <f>-E101*CFs!$B$7/12</f>
        <v>-3045.3095649173392</v>
      </c>
      <c r="D102" s="1">
        <f t="shared" si="3"/>
        <v>-652.86388743471662</v>
      </c>
      <c r="E102" s="1">
        <f t="shared" si="4"/>
        <v>456143.57085016614</v>
      </c>
    </row>
    <row r="103" spans="1:5">
      <c r="A103" s="120">
        <f t="shared" si="5"/>
        <v>101</v>
      </c>
      <c r="B103" s="1">
        <f>PMT(CFs!$B$7/12,CFs!$B$8,CFs!$B$6)</f>
        <v>-3698.1734523520558</v>
      </c>
      <c r="C103" s="2">
        <f>-E102*CFs!$B$7/12</f>
        <v>-3040.9571390011079</v>
      </c>
      <c r="D103" s="1">
        <f t="shared" si="3"/>
        <v>-657.21631335094798</v>
      </c>
      <c r="E103" s="1">
        <f t="shared" si="4"/>
        <v>455486.3545368152</v>
      </c>
    </row>
    <row r="104" spans="1:5">
      <c r="A104" s="120">
        <f t="shared" si="5"/>
        <v>102</v>
      </c>
      <c r="B104" s="1">
        <f>PMT(CFs!$B$7/12,CFs!$B$8,CFs!$B$6)</f>
        <v>-3698.1734523520558</v>
      </c>
      <c r="C104" s="2">
        <f>-E103*CFs!$B$7/12</f>
        <v>-3036.5756969121012</v>
      </c>
      <c r="D104" s="1">
        <f t="shared" si="3"/>
        <v>-661.59775543995465</v>
      </c>
      <c r="E104" s="1">
        <f t="shared" si="4"/>
        <v>454824.75678137527</v>
      </c>
    </row>
    <row r="105" spans="1:5">
      <c r="A105" s="120">
        <f t="shared" si="5"/>
        <v>103</v>
      </c>
      <c r="B105" s="1">
        <f>PMT(CFs!$B$7/12,CFs!$B$8,CFs!$B$6)</f>
        <v>-3698.1734523520558</v>
      </c>
      <c r="C105" s="2">
        <f>-E104*CFs!$B$7/12</f>
        <v>-3032.1650452091685</v>
      </c>
      <c r="D105" s="1">
        <f t="shared" si="3"/>
        <v>-666.00840714288734</v>
      </c>
      <c r="E105" s="1">
        <f t="shared" si="4"/>
        <v>454158.74837423238</v>
      </c>
    </row>
    <row r="106" spans="1:5">
      <c r="A106" s="120">
        <f t="shared" si="5"/>
        <v>104</v>
      </c>
      <c r="B106" s="1">
        <f>PMT(CFs!$B$7/12,CFs!$B$8,CFs!$B$6)</f>
        <v>-3698.1734523520558</v>
      </c>
      <c r="C106" s="2">
        <f>-E105*CFs!$B$7/12</f>
        <v>-3027.7249891615497</v>
      </c>
      <c r="D106" s="1">
        <f t="shared" si="3"/>
        <v>-670.44846319050612</v>
      </c>
      <c r="E106" s="1">
        <f t="shared" si="4"/>
        <v>453488.29991104186</v>
      </c>
    </row>
    <row r="107" spans="1:5">
      <c r="A107" s="120">
        <f t="shared" si="5"/>
        <v>105</v>
      </c>
      <c r="B107" s="1">
        <f>PMT(CFs!$B$7/12,CFs!$B$8,CFs!$B$6)</f>
        <v>-3698.1734523520558</v>
      </c>
      <c r="C107" s="2">
        <f>-E106*CFs!$B$7/12</f>
        <v>-3023.2553327402788</v>
      </c>
      <c r="D107" s="1">
        <f t="shared" si="3"/>
        <v>-674.918119611777</v>
      </c>
      <c r="E107" s="1">
        <f t="shared" si="4"/>
        <v>452813.38179143006</v>
      </c>
    </row>
    <row r="108" spans="1:5">
      <c r="A108" s="120">
        <f t="shared" si="5"/>
        <v>106</v>
      </c>
      <c r="B108" s="1">
        <f>PMT(CFs!$B$7/12,CFs!$B$8,CFs!$B$6)</f>
        <v>-3698.1734523520558</v>
      </c>
      <c r="C108" s="2">
        <f>-E107*CFs!$B$7/12</f>
        <v>-3018.7558786095337</v>
      </c>
      <c r="D108" s="1">
        <f t="shared" si="3"/>
        <v>-679.41757374252211</v>
      </c>
      <c r="E108" s="1">
        <f t="shared" si="4"/>
        <v>452133.96421768755</v>
      </c>
    </row>
    <row r="109" spans="1:5">
      <c r="A109" s="120">
        <f t="shared" si="5"/>
        <v>107</v>
      </c>
      <c r="B109" s="1">
        <f>PMT(CFs!$B$7/12,CFs!$B$8,CFs!$B$6)</f>
        <v>-3698.1734523520558</v>
      </c>
      <c r="C109" s="2">
        <f>-E108*CFs!$B$7/12</f>
        <v>-3014.2264281179173</v>
      </c>
      <c r="D109" s="1">
        <f t="shared" si="3"/>
        <v>-683.94702423413855</v>
      </c>
      <c r="E109" s="1">
        <f t="shared" si="4"/>
        <v>451450.01719345339</v>
      </c>
    </row>
    <row r="110" spans="1:5">
      <c r="A110" s="120">
        <f t="shared" si="5"/>
        <v>108</v>
      </c>
      <c r="B110" s="1">
        <f>PMT(CFs!$B$7/12,CFs!$B$8,CFs!$B$6)</f>
        <v>-3698.1734523520558</v>
      </c>
      <c r="C110" s="2">
        <f>-E109*CFs!$B$7/12</f>
        <v>-3009.666781289689</v>
      </c>
      <c r="D110" s="1">
        <f t="shared" si="3"/>
        <v>-688.50667106236688</v>
      </c>
      <c r="E110" s="1">
        <f t="shared" si="4"/>
        <v>450761.51052239101</v>
      </c>
    </row>
    <row r="111" spans="1:5">
      <c r="A111" s="120">
        <f t="shared" si="5"/>
        <v>109</v>
      </c>
      <c r="B111" s="1">
        <f>PMT(CFs!$B$7/12,CFs!$B$8,CFs!$B$6)</f>
        <v>-3698.1734523520558</v>
      </c>
      <c r="C111" s="2">
        <f>-E110*CFs!$B$7/12</f>
        <v>-3005.07673681594</v>
      </c>
      <c r="D111" s="1">
        <f t="shared" si="3"/>
        <v>-693.09671553611588</v>
      </c>
      <c r="E111" s="1">
        <f t="shared" si="4"/>
        <v>450068.41380685486</v>
      </c>
    </row>
    <row r="112" spans="1:5">
      <c r="A112" s="120">
        <f t="shared" si="5"/>
        <v>110</v>
      </c>
      <c r="B112" s="1">
        <f>PMT(CFs!$B$7/12,CFs!$B$8,CFs!$B$6)</f>
        <v>-3698.1734523520558</v>
      </c>
      <c r="C112" s="2">
        <f>-E111*CFs!$B$7/12</f>
        <v>-3000.4560920456993</v>
      </c>
      <c r="D112" s="1">
        <f t="shared" si="3"/>
        <v>-697.71736030635657</v>
      </c>
      <c r="E112" s="1">
        <f t="shared" si="4"/>
        <v>449370.69644654851</v>
      </c>
    </row>
    <row r="113" spans="1:5">
      <c r="A113" s="120">
        <f t="shared" si="5"/>
        <v>111</v>
      </c>
      <c r="B113" s="1">
        <f>PMT(CFs!$B$7/12,CFs!$B$8,CFs!$B$6)</f>
        <v>-3698.1734523520558</v>
      </c>
      <c r="C113" s="2">
        <f>-E112*CFs!$B$7/12</f>
        <v>-2995.8046429769897</v>
      </c>
      <c r="D113" s="1">
        <f t="shared" si="3"/>
        <v>-702.36880937506612</v>
      </c>
      <c r="E113" s="1">
        <f t="shared" si="4"/>
        <v>448668.32763717347</v>
      </c>
    </row>
    <row r="114" spans="1:5">
      <c r="A114" s="120">
        <f t="shared" si="5"/>
        <v>112</v>
      </c>
      <c r="B114" s="1">
        <f>PMT(CFs!$B$7/12,CFs!$B$8,CFs!$B$6)</f>
        <v>-3698.1734523520558</v>
      </c>
      <c r="C114" s="2">
        <f>-E113*CFs!$B$7/12</f>
        <v>-2991.122184247823</v>
      </c>
      <c r="D114" s="1">
        <f t="shared" si="3"/>
        <v>-707.0512681042328</v>
      </c>
      <c r="E114" s="1">
        <f t="shared" si="4"/>
        <v>447961.27636906924</v>
      </c>
    </row>
    <row r="115" spans="1:5">
      <c r="A115" s="120">
        <f t="shared" si="5"/>
        <v>113</v>
      </c>
      <c r="B115" s="1">
        <f>PMT(CFs!$B$7/12,CFs!$B$8,CFs!$B$6)</f>
        <v>-3698.1734523520558</v>
      </c>
      <c r="C115" s="2">
        <f>-E114*CFs!$B$7/12</f>
        <v>-2986.4085091271281</v>
      </c>
      <c r="D115" s="1">
        <f t="shared" si="3"/>
        <v>-711.76494322492772</v>
      </c>
      <c r="E115" s="1">
        <f t="shared" si="4"/>
        <v>447249.51142584434</v>
      </c>
    </row>
    <row r="116" spans="1:5">
      <c r="A116" s="120">
        <f t="shared" si="5"/>
        <v>114</v>
      </c>
      <c r="B116" s="1">
        <f>PMT(CFs!$B$7/12,CFs!$B$8,CFs!$B$6)</f>
        <v>-3698.1734523520558</v>
      </c>
      <c r="C116" s="2">
        <f>-E115*CFs!$B$7/12</f>
        <v>-2981.6634095056288</v>
      </c>
      <c r="D116" s="1">
        <f t="shared" si="3"/>
        <v>-716.51004284642704</v>
      </c>
      <c r="E116" s="1">
        <f t="shared" si="4"/>
        <v>446533.0013829979</v>
      </c>
    </row>
    <row r="117" spans="1:5">
      <c r="A117" s="120">
        <f t="shared" si="5"/>
        <v>115</v>
      </c>
      <c r="B117" s="1">
        <f>PMT(CFs!$B$7/12,CFs!$B$8,CFs!$B$6)</f>
        <v>-3698.1734523520558</v>
      </c>
      <c r="C117" s="2">
        <f>-E116*CFs!$B$7/12</f>
        <v>-2976.8866758866529</v>
      </c>
      <c r="D117" s="1">
        <f t="shared" ref="D117:D180" si="6">B117-C117</f>
        <v>-721.28677646540291</v>
      </c>
      <c r="E117" s="1">
        <f t="shared" ref="E117:E180" si="7">E116+D117</f>
        <v>445811.71460653248</v>
      </c>
    </row>
    <row r="118" spans="1:5">
      <c r="A118" s="120">
        <f t="shared" si="5"/>
        <v>116</v>
      </c>
      <c r="B118" s="1">
        <f>PMT(CFs!$B$7/12,CFs!$B$8,CFs!$B$6)</f>
        <v>-3698.1734523520558</v>
      </c>
      <c r="C118" s="2">
        <f>-E117*CFs!$B$7/12</f>
        <v>-2972.0780973768833</v>
      </c>
      <c r="D118" s="1">
        <f t="shared" si="6"/>
        <v>-726.09535497517254</v>
      </c>
      <c r="E118" s="1">
        <f t="shared" si="7"/>
        <v>445085.61925155728</v>
      </c>
    </row>
    <row r="119" spans="1:5">
      <c r="A119" s="120">
        <f t="shared" si="5"/>
        <v>117</v>
      </c>
      <c r="B119" s="1">
        <f>PMT(CFs!$B$7/12,CFs!$B$8,CFs!$B$6)</f>
        <v>-3698.1734523520558</v>
      </c>
      <c r="C119" s="2">
        <f>-E118*CFs!$B$7/12</f>
        <v>-2967.2374616770485</v>
      </c>
      <c r="D119" s="1">
        <f t="shared" si="6"/>
        <v>-730.93599067500736</v>
      </c>
      <c r="E119" s="1">
        <f t="shared" si="7"/>
        <v>444354.68326088227</v>
      </c>
    </row>
    <row r="120" spans="1:5">
      <c r="A120" s="120">
        <f t="shared" si="5"/>
        <v>118</v>
      </c>
      <c r="B120" s="1">
        <f>PMT(CFs!$B$7/12,CFs!$B$8,CFs!$B$6)</f>
        <v>-3698.1734523520558</v>
      </c>
      <c r="C120" s="2">
        <f>-E119*CFs!$B$7/12</f>
        <v>-2962.3645550725487</v>
      </c>
      <c r="D120" s="1">
        <f t="shared" si="6"/>
        <v>-735.80889727950716</v>
      </c>
      <c r="E120" s="1">
        <f t="shared" si="7"/>
        <v>443618.87436360278</v>
      </c>
    </row>
    <row r="121" spans="1:5">
      <c r="A121" s="120">
        <f t="shared" si="5"/>
        <v>119</v>
      </c>
      <c r="B121" s="1">
        <f>PMT(CFs!$B$7/12,CFs!$B$8,CFs!$B$6)</f>
        <v>-3698.1734523520558</v>
      </c>
      <c r="C121" s="2">
        <f>-E120*CFs!$B$7/12</f>
        <v>-2957.4591624240184</v>
      </c>
      <c r="D121" s="1">
        <f t="shared" si="6"/>
        <v>-740.71428992803749</v>
      </c>
      <c r="E121" s="1">
        <f t="shared" si="7"/>
        <v>442878.16007367475</v>
      </c>
    </row>
    <row r="122" spans="1:5">
      <c r="A122" s="120">
        <f t="shared" si="5"/>
        <v>120</v>
      </c>
      <c r="B122" s="1">
        <f>PMT(CFs!$B$7/12,CFs!$B$8,CFs!$B$6)</f>
        <v>-3698.1734523520558</v>
      </c>
      <c r="C122" s="2">
        <f>-E121*CFs!$B$7/12</f>
        <v>-2952.5210671578316</v>
      </c>
      <c r="D122" s="1">
        <f t="shared" si="6"/>
        <v>-745.65238519422428</v>
      </c>
      <c r="E122" s="1">
        <f t="shared" si="7"/>
        <v>442132.50768848055</v>
      </c>
    </row>
    <row r="123" spans="1:5">
      <c r="A123" s="120">
        <f t="shared" si="5"/>
        <v>121</v>
      </c>
      <c r="B123" s="1">
        <f>PMT(CFs!$B$7/12,CFs!$B$8,CFs!$B$6)</f>
        <v>-3698.1734523520558</v>
      </c>
      <c r="C123" s="2">
        <f>-E122*CFs!$B$7/12</f>
        <v>-2947.5500512565372</v>
      </c>
      <c r="D123" s="1">
        <f t="shared" si="6"/>
        <v>-750.6234010955186</v>
      </c>
      <c r="E123" s="1">
        <f t="shared" si="7"/>
        <v>441381.88428738504</v>
      </c>
    </row>
    <row r="124" spans="1:5">
      <c r="A124" s="120">
        <f t="shared" si="5"/>
        <v>122</v>
      </c>
      <c r="B124" s="1">
        <f>PMT(CFs!$B$7/12,CFs!$B$8,CFs!$B$6)</f>
        <v>-3698.1734523520558</v>
      </c>
      <c r="C124" s="2">
        <f>-E123*CFs!$B$7/12</f>
        <v>-2942.5458952492336</v>
      </c>
      <c r="D124" s="1">
        <f t="shared" si="6"/>
        <v>-755.62755710282227</v>
      </c>
      <c r="E124" s="1">
        <f t="shared" si="7"/>
        <v>440626.25673028221</v>
      </c>
    </row>
    <row r="125" spans="1:5">
      <c r="A125" s="120">
        <f t="shared" si="5"/>
        <v>123</v>
      </c>
      <c r="B125" s="1">
        <f>PMT(CFs!$B$7/12,CFs!$B$8,CFs!$B$6)</f>
        <v>-3698.1734523520558</v>
      </c>
      <c r="C125" s="2">
        <f>-E124*CFs!$B$7/12</f>
        <v>-2937.5083782018814</v>
      </c>
      <c r="D125" s="1">
        <f t="shared" si="6"/>
        <v>-760.66507415017441</v>
      </c>
      <c r="E125" s="1">
        <f t="shared" si="7"/>
        <v>439865.59165613202</v>
      </c>
    </row>
    <row r="126" spans="1:5">
      <c r="A126" s="120">
        <f t="shared" si="5"/>
        <v>124</v>
      </c>
      <c r="B126" s="1">
        <f>PMT(CFs!$B$7/12,CFs!$B$8,CFs!$B$6)</f>
        <v>-3698.1734523520558</v>
      </c>
      <c r="C126" s="2">
        <f>-E125*CFs!$B$7/12</f>
        <v>-2932.4372777075473</v>
      </c>
      <c r="D126" s="1">
        <f t="shared" si="6"/>
        <v>-765.73617464450854</v>
      </c>
      <c r="E126" s="1">
        <f t="shared" si="7"/>
        <v>439099.85548148752</v>
      </c>
    </row>
    <row r="127" spans="1:5">
      <c r="A127" s="120">
        <f t="shared" si="5"/>
        <v>125</v>
      </c>
      <c r="B127" s="1">
        <f>PMT(CFs!$B$7/12,CFs!$B$8,CFs!$B$6)</f>
        <v>-3698.1734523520558</v>
      </c>
      <c r="C127" s="2">
        <f>-E126*CFs!$B$7/12</f>
        <v>-2927.3323698765835</v>
      </c>
      <c r="D127" s="1">
        <f t="shared" si="6"/>
        <v>-770.84108247547238</v>
      </c>
      <c r="E127" s="1">
        <f t="shared" si="7"/>
        <v>438329.01439901203</v>
      </c>
    </row>
    <row r="128" spans="1:5">
      <c r="A128" s="120">
        <f t="shared" si="5"/>
        <v>126</v>
      </c>
      <c r="B128" s="1">
        <f>PMT(CFs!$B$7/12,CFs!$B$8,CFs!$B$6)</f>
        <v>-3698.1734523520558</v>
      </c>
      <c r="C128" s="2">
        <f>-E127*CFs!$B$7/12</f>
        <v>-2922.1934293267473</v>
      </c>
      <c r="D128" s="1">
        <f t="shared" si="6"/>
        <v>-775.98002302530858</v>
      </c>
      <c r="E128" s="1">
        <f t="shared" si="7"/>
        <v>437553.03437598672</v>
      </c>
    </row>
    <row r="129" spans="1:5">
      <c r="A129" s="120">
        <f t="shared" si="5"/>
        <v>127</v>
      </c>
      <c r="B129" s="1">
        <f>PMT(CFs!$B$7/12,CFs!$B$8,CFs!$B$6)</f>
        <v>-3698.1734523520558</v>
      </c>
      <c r="C129" s="2">
        <f>-E128*CFs!$B$7/12</f>
        <v>-2917.0202291732453</v>
      </c>
      <c r="D129" s="1">
        <f t="shared" si="6"/>
        <v>-781.15322317881055</v>
      </c>
      <c r="E129" s="1">
        <f t="shared" si="7"/>
        <v>436771.88115280791</v>
      </c>
    </row>
    <row r="130" spans="1:5">
      <c r="A130" s="120">
        <f t="shared" si="5"/>
        <v>128</v>
      </c>
      <c r="B130" s="1">
        <f>PMT(CFs!$B$7/12,CFs!$B$8,CFs!$B$6)</f>
        <v>-3698.1734523520558</v>
      </c>
      <c r="C130" s="2">
        <f>-E129*CFs!$B$7/12</f>
        <v>-2911.812541018719</v>
      </c>
      <c r="D130" s="1">
        <f t="shared" si="6"/>
        <v>-786.36091133333684</v>
      </c>
      <c r="E130" s="1">
        <f t="shared" si="7"/>
        <v>435985.52024147456</v>
      </c>
    </row>
    <row r="131" spans="1:5">
      <c r="A131" s="120">
        <f t="shared" si="5"/>
        <v>129</v>
      </c>
      <c r="B131" s="1">
        <f>PMT(CFs!$B$7/12,CFs!$B$8,CFs!$B$6)</f>
        <v>-3698.1734523520558</v>
      </c>
      <c r="C131" s="2">
        <f>-E130*CFs!$B$7/12</f>
        <v>-2906.5701349431638</v>
      </c>
      <c r="D131" s="1">
        <f t="shared" si="6"/>
        <v>-791.60331740889205</v>
      </c>
      <c r="E131" s="1">
        <f t="shared" si="7"/>
        <v>435193.91692406568</v>
      </c>
    </row>
    <row r="132" spans="1:5">
      <c r="A132" s="120">
        <f t="shared" si="5"/>
        <v>130</v>
      </c>
      <c r="B132" s="1">
        <f>PMT(CFs!$B$7/12,CFs!$B$8,CFs!$B$6)</f>
        <v>-3698.1734523520558</v>
      </c>
      <c r="C132" s="2">
        <f>-E131*CFs!$B$7/12</f>
        <v>-2901.2927794937714</v>
      </c>
      <c r="D132" s="1">
        <f t="shared" si="6"/>
        <v>-796.88067285828447</v>
      </c>
      <c r="E132" s="1">
        <f t="shared" si="7"/>
        <v>434397.03625120741</v>
      </c>
    </row>
    <row r="133" spans="1:5">
      <c r="A133" s="120">
        <f t="shared" ref="A133:A196" si="8">A132+1</f>
        <v>131</v>
      </c>
      <c r="B133" s="1">
        <f>PMT(CFs!$B$7/12,CFs!$B$8,CFs!$B$6)</f>
        <v>-3698.1734523520558</v>
      </c>
      <c r="C133" s="2">
        <f>-E132*CFs!$B$7/12</f>
        <v>-2895.9802416747157</v>
      </c>
      <c r="D133" s="1">
        <f t="shared" si="6"/>
        <v>-802.19321067734018</v>
      </c>
      <c r="E133" s="1">
        <f t="shared" si="7"/>
        <v>433594.84304053005</v>
      </c>
    </row>
    <row r="134" spans="1:5">
      <c r="A134" s="120">
        <f t="shared" si="8"/>
        <v>132</v>
      </c>
      <c r="B134" s="1">
        <f>PMT(CFs!$B$7/12,CFs!$B$8,CFs!$B$6)</f>
        <v>-3698.1734523520558</v>
      </c>
      <c r="C134" s="2">
        <f>-E133*CFs!$B$7/12</f>
        <v>-2890.6322869368669</v>
      </c>
      <c r="D134" s="1">
        <f t="shared" si="6"/>
        <v>-807.54116541518897</v>
      </c>
      <c r="E134" s="1">
        <f t="shared" si="7"/>
        <v>432787.30187511485</v>
      </c>
    </row>
    <row r="135" spans="1:5">
      <c r="A135" s="120">
        <f t="shared" si="8"/>
        <v>133</v>
      </c>
      <c r="B135" s="1">
        <f>PMT(CFs!$B$7/12,CFs!$B$8,CFs!$B$6)</f>
        <v>-3698.1734523520558</v>
      </c>
      <c r="C135" s="2">
        <f>-E134*CFs!$B$7/12</f>
        <v>-2885.2486791674323</v>
      </c>
      <c r="D135" s="1">
        <f t="shared" si="6"/>
        <v>-812.92477318462352</v>
      </c>
      <c r="E135" s="1">
        <f t="shared" si="7"/>
        <v>431974.37710193021</v>
      </c>
    </row>
    <row r="136" spans="1:5">
      <c r="A136" s="120">
        <f t="shared" si="8"/>
        <v>134</v>
      </c>
      <c r="B136" s="1">
        <f>PMT(CFs!$B$7/12,CFs!$B$8,CFs!$B$6)</f>
        <v>-3698.1734523520558</v>
      </c>
      <c r="C136" s="2">
        <f>-E135*CFs!$B$7/12</f>
        <v>-2879.8291806795351</v>
      </c>
      <c r="D136" s="1">
        <f t="shared" si="6"/>
        <v>-818.34427167252079</v>
      </c>
      <c r="E136" s="1">
        <f t="shared" si="7"/>
        <v>431156.03283025767</v>
      </c>
    </row>
    <row r="137" spans="1:5">
      <c r="A137" s="120">
        <f t="shared" si="8"/>
        <v>135</v>
      </c>
      <c r="B137" s="1">
        <f>PMT(CFs!$B$7/12,CFs!$B$8,CFs!$B$6)</f>
        <v>-3698.1734523520558</v>
      </c>
      <c r="C137" s="2">
        <f>-E136*CFs!$B$7/12</f>
        <v>-2874.3735522017178</v>
      </c>
      <c r="D137" s="1">
        <f t="shared" si="6"/>
        <v>-823.79990015033809</v>
      </c>
      <c r="E137" s="1">
        <f t="shared" si="7"/>
        <v>430332.23293010733</v>
      </c>
    </row>
    <row r="138" spans="1:5">
      <c r="A138" s="120">
        <f t="shared" si="8"/>
        <v>136</v>
      </c>
      <c r="B138" s="1">
        <f>PMT(CFs!$B$7/12,CFs!$B$8,CFs!$B$6)</f>
        <v>-3698.1734523520558</v>
      </c>
      <c r="C138" s="2">
        <f>-E137*CFs!$B$7/12</f>
        <v>-2868.8815528673822</v>
      </c>
      <c r="D138" s="1">
        <f t="shared" si="6"/>
        <v>-829.29189948467365</v>
      </c>
      <c r="E138" s="1">
        <f t="shared" si="7"/>
        <v>429502.94103062263</v>
      </c>
    </row>
    <row r="139" spans="1:5">
      <c r="A139" s="120">
        <f t="shared" si="8"/>
        <v>137</v>
      </c>
      <c r="B139" s="1">
        <f>PMT(CFs!$B$7/12,CFs!$B$8,CFs!$B$6)</f>
        <v>-3698.1734523520558</v>
      </c>
      <c r="C139" s="2">
        <f>-E138*CFs!$B$7/12</f>
        <v>-2863.3529402041509</v>
      </c>
      <c r="D139" s="1">
        <f t="shared" si="6"/>
        <v>-834.82051214790499</v>
      </c>
      <c r="E139" s="1">
        <f t="shared" si="7"/>
        <v>428668.12051847472</v>
      </c>
    </row>
    <row r="140" spans="1:5">
      <c r="A140" s="120">
        <f t="shared" si="8"/>
        <v>138</v>
      </c>
      <c r="B140" s="1">
        <f>PMT(CFs!$B$7/12,CFs!$B$8,CFs!$B$6)</f>
        <v>-3698.1734523520558</v>
      </c>
      <c r="C140" s="2">
        <f>-E139*CFs!$B$7/12</f>
        <v>-2857.7874701231649</v>
      </c>
      <c r="D140" s="1">
        <f t="shared" si="6"/>
        <v>-840.38598222889095</v>
      </c>
      <c r="E140" s="1">
        <f t="shared" si="7"/>
        <v>427827.73453624581</v>
      </c>
    </row>
    <row r="141" spans="1:5">
      <c r="A141" s="120">
        <f t="shared" si="8"/>
        <v>139</v>
      </c>
      <c r="B141" s="1">
        <f>PMT(CFs!$B$7/12,CFs!$B$8,CFs!$B$6)</f>
        <v>-3698.1734523520558</v>
      </c>
      <c r="C141" s="2">
        <f>-E140*CFs!$B$7/12</f>
        <v>-2852.1848969083057</v>
      </c>
      <c r="D141" s="1">
        <f t="shared" si="6"/>
        <v>-845.9885554437501</v>
      </c>
      <c r="E141" s="1">
        <f t="shared" si="7"/>
        <v>426981.74598080205</v>
      </c>
    </row>
    <row r="142" spans="1:5">
      <c r="A142" s="120">
        <f t="shared" si="8"/>
        <v>140</v>
      </c>
      <c r="B142" s="1">
        <f>PMT(CFs!$B$7/12,CFs!$B$8,CFs!$B$6)</f>
        <v>-3698.1734523520558</v>
      </c>
      <c r="C142" s="2">
        <f>-E141*CFs!$B$7/12</f>
        <v>-2846.5449732053471</v>
      </c>
      <c r="D142" s="1">
        <f t="shared" si="6"/>
        <v>-851.62847914670874</v>
      </c>
      <c r="E142" s="1">
        <f t="shared" si="7"/>
        <v>426130.11750165536</v>
      </c>
    </row>
    <row r="143" spans="1:5">
      <c r="A143" s="120">
        <f t="shared" si="8"/>
        <v>141</v>
      </c>
      <c r="B143" s="1">
        <f>PMT(CFs!$B$7/12,CFs!$B$8,CFs!$B$6)</f>
        <v>-3698.1734523520558</v>
      </c>
      <c r="C143" s="2">
        <f>-E142*CFs!$B$7/12</f>
        <v>-2840.8674500110355</v>
      </c>
      <c r="D143" s="1">
        <f t="shared" si="6"/>
        <v>-857.3060023410203</v>
      </c>
      <c r="E143" s="1">
        <f t="shared" si="7"/>
        <v>425272.81149931432</v>
      </c>
    </row>
    <row r="144" spans="1:5">
      <c r="A144" s="120">
        <f t="shared" si="8"/>
        <v>142</v>
      </c>
      <c r="B144" s="1">
        <f>PMT(CFs!$B$7/12,CFs!$B$8,CFs!$B$6)</f>
        <v>-3698.1734523520558</v>
      </c>
      <c r="C144" s="2">
        <f>-E143*CFs!$B$7/12</f>
        <v>-2835.1520766620956</v>
      </c>
      <c r="D144" s="1">
        <f t="shared" si="6"/>
        <v>-863.02137568996022</v>
      </c>
      <c r="E144" s="1">
        <f t="shared" si="7"/>
        <v>424409.79012362438</v>
      </c>
    </row>
    <row r="145" spans="1:5">
      <c r="A145" s="120">
        <f t="shared" si="8"/>
        <v>143</v>
      </c>
      <c r="B145" s="1">
        <f>PMT(CFs!$B$7/12,CFs!$B$8,CFs!$B$6)</f>
        <v>-3698.1734523520558</v>
      </c>
      <c r="C145" s="2">
        <f>-E144*CFs!$B$7/12</f>
        <v>-2829.3986008241627</v>
      </c>
      <c r="D145" s="1">
        <f t="shared" si="6"/>
        <v>-868.77485152789313</v>
      </c>
      <c r="E145" s="1">
        <f t="shared" si="7"/>
        <v>423541.0152720965</v>
      </c>
    </row>
    <row r="146" spans="1:5">
      <c r="A146" s="120">
        <f t="shared" si="8"/>
        <v>144</v>
      </c>
      <c r="B146" s="1">
        <f>PMT(CFs!$B$7/12,CFs!$B$8,CFs!$B$6)</f>
        <v>-3698.1734523520558</v>
      </c>
      <c r="C146" s="2">
        <f>-E145*CFs!$B$7/12</f>
        <v>-2823.6067684806435</v>
      </c>
      <c r="D146" s="1">
        <f t="shared" si="6"/>
        <v>-874.56668387141235</v>
      </c>
      <c r="E146" s="1">
        <f t="shared" si="7"/>
        <v>422666.44858822506</v>
      </c>
    </row>
    <row r="147" spans="1:5">
      <c r="A147" s="120">
        <f t="shared" si="8"/>
        <v>145</v>
      </c>
      <c r="B147" s="1">
        <f>PMT(CFs!$B$7/12,CFs!$B$8,CFs!$B$6)</f>
        <v>-3698.1734523520558</v>
      </c>
      <c r="C147" s="2">
        <f>-E146*CFs!$B$7/12</f>
        <v>-2817.7763239215005</v>
      </c>
      <c r="D147" s="1">
        <f t="shared" si="6"/>
        <v>-880.39712843055531</v>
      </c>
      <c r="E147" s="1">
        <f t="shared" si="7"/>
        <v>421786.05145979451</v>
      </c>
    </row>
    <row r="148" spans="1:5">
      <c r="A148" s="120">
        <f t="shared" si="8"/>
        <v>146</v>
      </c>
      <c r="B148" s="1">
        <f>PMT(CFs!$B$7/12,CFs!$B$8,CFs!$B$6)</f>
        <v>-3698.1734523520558</v>
      </c>
      <c r="C148" s="2">
        <f>-E147*CFs!$B$7/12</f>
        <v>-2811.9070097319636</v>
      </c>
      <c r="D148" s="1">
        <f t="shared" si="6"/>
        <v>-886.26644262009222</v>
      </c>
      <c r="E148" s="1">
        <f t="shared" si="7"/>
        <v>420899.78501717444</v>
      </c>
    </row>
    <row r="149" spans="1:5">
      <c r="A149" s="120">
        <f t="shared" si="8"/>
        <v>147</v>
      </c>
      <c r="B149" s="1">
        <f>PMT(CFs!$B$7/12,CFs!$B$8,CFs!$B$6)</f>
        <v>-3698.1734523520558</v>
      </c>
      <c r="C149" s="2">
        <f>-E148*CFs!$B$7/12</f>
        <v>-2805.9985667811629</v>
      </c>
      <c r="D149" s="1">
        <f t="shared" si="6"/>
        <v>-892.17488557089291</v>
      </c>
      <c r="E149" s="1">
        <f t="shared" si="7"/>
        <v>420007.61013160355</v>
      </c>
    </row>
    <row r="150" spans="1:5">
      <c r="A150" s="120">
        <f t="shared" si="8"/>
        <v>148</v>
      </c>
      <c r="B150" s="1">
        <f>PMT(CFs!$B$7/12,CFs!$B$8,CFs!$B$6)</f>
        <v>-3698.1734523520558</v>
      </c>
      <c r="C150" s="2">
        <f>-E149*CFs!$B$7/12</f>
        <v>-2800.0507342106903</v>
      </c>
      <c r="D150" s="1">
        <f t="shared" si="6"/>
        <v>-898.12271814136557</v>
      </c>
      <c r="E150" s="1">
        <f t="shared" si="7"/>
        <v>419109.48741346219</v>
      </c>
    </row>
    <row r="151" spans="1:5">
      <c r="A151" s="120">
        <f t="shared" si="8"/>
        <v>149</v>
      </c>
      <c r="B151" s="1">
        <f>PMT(CFs!$B$7/12,CFs!$B$8,CFs!$B$6)</f>
        <v>-3698.1734523520558</v>
      </c>
      <c r="C151" s="2">
        <f>-E150*CFs!$B$7/12</f>
        <v>-2794.0632494230813</v>
      </c>
      <c r="D151" s="1">
        <f t="shared" si="6"/>
        <v>-904.11020292897456</v>
      </c>
      <c r="E151" s="1">
        <f t="shared" si="7"/>
        <v>418205.37721053325</v>
      </c>
    </row>
    <row r="152" spans="1:5">
      <c r="A152" s="120">
        <f t="shared" si="8"/>
        <v>150</v>
      </c>
      <c r="B152" s="1">
        <f>PMT(CFs!$B$7/12,CFs!$B$8,CFs!$B$6)</f>
        <v>-3698.1734523520558</v>
      </c>
      <c r="C152" s="2">
        <f>-E151*CFs!$B$7/12</f>
        <v>-2788.0358480702216</v>
      </c>
      <c r="D152" s="1">
        <f t="shared" si="6"/>
        <v>-910.13760428183423</v>
      </c>
      <c r="E152" s="1">
        <f t="shared" si="7"/>
        <v>417295.23960625142</v>
      </c>
    </row>
    <row r="153" spans="1:5">
      <c r="A153" s="120">
        <f t="shared" si="8"/>
        <v>151</v>
      </c>
      <c r="B153" s="1">
        <f>PMT(CFs!$B$7/12,CFs!$B$8,CFs!$B$6)</f>
        <v>-3698.1734523520558</v>
      </c>
      <c r="C153" s="2">
        <f>-E152*CFs!$B$7/12</f>
        <v>-2781.9682640416759</v>
      </c>
      <c r="D153" s="1">
        <f t="shared" si="6"/>
        <v>-916.20518831037998</v>
      </c>
      <c r="E153" s="1">
        <f t="shared" si="7"/>
        <v>416379.03441794106</v>
      </c>
    </row>
    <row r="154" spans="1:5">
      <c r="A154" s="120">
        <f t="shared" si="8"/>
        <v>152</v>
      </c>
      <c r="B154" s="1">
        <f>PMT(CFs!$B$7/12,CFs!$B$8,CFs!$B$6)</f>
        <v>-3698.1734523520558</v>
      </c>
      <c r="C154" s="2">
        <f>-E153*CFs!$B$7/12</f>
        <v>-2775.8602294529405</v>
      </c>
      <c r="D154" s="1">
        <f t="shared" si="6"/>
        <v>-922.31322289911532</v>
      </c>
      <c r="E154" s="1">
        <f t="shared" si="7"/>
        <v>415456.72119504196</v>
      </c>
    </row>
    <row r="155" spans="1:5">
      <c r="A155" s="120">
        <f t="shared" si="8"/>
        <v>153</v>
      </c>
      <c r="B155" s="1">
        <f>PMT(CFs!$B$7/12,CFs!$B$8,CFs!$B$6)</f>
        <v>-3698.1734523520558</v>
      </c>
      <c r="C155" s="2">
        <f>-E154*CFs!$B$7/12</f>
        <v>-2769.7114746336133</v>
      </c>
      <c r="D155" s="1">
        <f t="shared" si="6"/>
        <v>-928.46197771844254</v>
      </c>
      <c r="E155" s="1">
        <f t="shared" si="7"/>
        <v>414528.2592173235</v>
      </c>
    </row>
    <row r="156" spans="1:5">
      <c r="A156" s="120">
        <f t="shared" si="8"/>
        <v>154</v>
      </c>
      <c r="B156" s="1">
        <f>PMT(CFs!$B$7/12,CFs!$B$8,CFs!$B$6)</f>
        <v>-3698.1734523520558</v>
      </c>
      <c r="C156" s="2">
        <f>-E155*CFs!$B$7/12</f>
        <v>-2763.5217281154896</v>
      </c>
      <c r="D156" s="1">
        <f t="shared" si="6"/>
        <v>-934.65172423656622</v>
      </c>
      <c r="E156" s="1">
        <f t="shared" si="7"/>
        <v>413593.60749308695</v>
      </c>
    </row>
    <row r="157" spans="1:5">
      <c r="A157" s="120">
        <f t="shared" si="8"/>
        <v>155</v>
      </c>
      <c r="B157" s="1">
        <f>PMT(CFs!$B$7/12,CFs!$B$8,CFs!$B$6)</f>
        <v>-3698.1734523520558</v>
      </c>
      <c r="C157" s="2">
        <f>-E156*CFs!$B$7/12</f>
        <v>-2757.29071662058</v>
      </c>
      <c r="D157" s="1">
        <f t="shared" si="6"/>
        <v>-940.8827357314758</v>
      </c>
      <c r="E157" s="1">
        <f t="shared" si="7"/>
        <v>412652.72475735546</v>
      </c>
    </row>
    <row r="158" spans="1:5">
      <c r="A158" s="120">
        <f t="shared" si="8"/>
        <v>156</v>
      </c>
      <c r="B158" s="1">
        <f>PMT(CFs!$B$7/12,CFs!$B$8,CFs!$B$6)</f>
        <v>-3698.1734523520558</v>
      </c>
      <c r="C158" s="2">
        <f>-E157*CFs!$B$7/12</f>
        <v>-2751.0181650490363</v>
      </c>
      <c r="D158" s="1">
        <f t="shared" si="6"/>
        <v>-947.15528730301958</v>
      </c>
      <c r="E158" s="1">
        <f t="shared" si="7"/>
        <v>411705.56947005243</v>
      </c>
    </row>
    <row r="159" spans="1:5">
      <c r="A159" s="120">
        <f t="shared" si="8"/>
        <v>157</v>
      </c>
      <c r="B159" s="1">
        <f>PMT(CFs!$B$7/12,CFs!$B$8,CFs!$B$6)</f>
        <v>-3698.1734523520558</v>
      </c>
      <c r="C159" s="2">
        <f>-E158*CFs!$B$7/12</f>
        <v>-2744.7037964670162</v>
      </c>
      <c r="D159" s="1">
        <f t="shared" si="6"/>
        <v>-953.46965588503963</v>
      </c>
      <c r="E159" s="1">
        <f t="shared" si="7"/>
        <v>410752.09981416742</v>
      </c>
    </row>
    <row r="160" spans="1:5">
      <c r="A160" s="120">
        <f t="shared" si="8"/>
        <v>158</v>
      </c>
      <c r="B160" s="1">
        <f>PMT(CFs!$B$7/12,CFs!$B$8,CFs!$B$6)</f>
        <v>-3698.1734523520558</v>
      </c>
      <c r="C160" s="2">
        <f>-E159*CFs!$B$7/12</f>
        <v>-2738.3473320944499</v>
      </c>
      <c r="D160" s="1">
        <f t="shared" si="6"/>
        <v>-959.82612025760591</v>
      </c>
      <c r="E160" s="1">
        <f t="shared" si="7"/>
        <v>409792.27369390981</v>
      </c>
    </row>
    <row r="161" spans="1:5">
      <c r="A161" s="120">
        <f t="shared" si="8"/>
        <v>159</v>
      </c>
      <c r="B161" s="1">
        <f>PMT(CFs!$B$7/12,CFs!$B$8,CFs!$B$6)</f>
        <v>-3698.1734523520558</v>
      </c>
      <c r="C161" s="2">
        <f>-E160*CFs!$B$7/12</f>
        <v>-2731.9484912927323</v>
      </c>
      <c r="D161" s="1">
        <f t="shared" si="6"/>
        <v>-966.2249610593235</v>
      </c>
      <c r="E161" s="1">
        <f t="shared" si="7"/>
        <v>408826.04873285047</v>
      </c>
    </row>
    <row r="162" spans="1:5">
      <c r="A162" s="120">
        <f t="shared" si="8"/>
        <v>160</v>
      </c>
      <c r="B162" s="1">
        <f>PMT(CFs!$B$7/12,CFs!$B$8,CFs!$B$6)</f>
        <v>-3698.1734523520558</v>
      </c>
      <c r="C162" s="2">
        <f>-E161*CFs!$B$7/12</f>
        <v>-2725.5069915523368</v>
      </c>
      <c r="D162" s="1">
        <f t="shared" si="6"/>
        <v>-972.66646079971906</v>
      </c>
      <c r="E162" s="1">
        <f t="shared" si="7"/>
        <v>407853.38227205077</v>
      </c>
    </row>
    <row r="163" spans="1:5">
      <c r="A163" s="120">
        <f t="shared" si="8"/>
        <v>161</v>
      </c>
      <c r="B163" s="1">
        <f>PMT(CFs!$B$7/12,CFs!$B$8,CFs!$B$6)</f>
        <v>-3698.1734523520558</v>
      </c>
      <c r="C163" s="2">
        <f>-E162*CFs!$B$7/12</f>
        <v>-2719.0225484803386</v>
      </c>
      <c r="D163" s="1">
        <f t="shared" si="6"/>
        <v>-979.15090387171722</v>
      </c>
      <c r="E163" s="1">
        <f t="shared" si="7"/>
        <v>406874.23136817908</v>
      </c>
    </row>
    <row r="164" spans="1:5">
      <c r="A164" s="120">
        <f t="shared" si="8"/>
        <v>162</v>
      </c>
      <c r="B164" s="1">
        <f>PMT(CFs!$B$7/12,CFs!$B$8,CFs!$B$6)</f>
        <v>-3698.1734523520558</v>
      </c>
      <c r="C164" s="2">
        <f>-E163*CFs!$B$7/12</f>
        <v>-2712.4948757878606</v>
      </c>
      <c r="D164" s="1">
        <f t="shared" si="6"/>
        <v>-985.67857656419528</v>
      </c>
      <c r="E164" s="1">
        <f t="shared" si="7"/>
        <v>405888.5527916149</v>
      </c>
    </row>
    <row r="165" spans="1:5">
      <c r="A165" s="120">
        <f t="shared" si="8"/>
        <v>163</v>
      </c>
      <c r="B165" s="1">
        <f>PMT(CFs!$B$7/12,CFs!$B$8,CFs!$B$6)</f>
        <v>-3698.1734523520558</v>
      </c>
      <c r="C165" s="2">
        <f>-E164*CFs!$B$7/12</f>
        <v>-2705.9236852774325</v>
      </c>
      <c r="D165" s="1">
        <f t="shared" si="6"/>
        <v>-992.24976707462338</v>
      </c>
      <c r="E165" s="1">
        <f t="shared" si="7"/>
        <v>404896.30302454031</v>
      </c>
    </row>
    <row r="166" spans="1:5">
      <c r="A166" s="120">
        <f t="shared" si="8"/>
        <v>164</v>
      </c>
      <c r="B166" s="1">
        <f>PMT(CFs!$B$7/12,CFs!$B$8,CFs!$B$6)</f>
        <v>-3698.1734523520558</v>
      </c>
      <c r="C166" s="2">
        <f>-E165*CFs!$B$7/12</f>
        <v>-2699.3086868302685</v>
      </c>
      <c r="D166" s="1">
        <f t="shared" si="6"/>
        <v>-998.86476552178738</v>
      </c>
      <c r="E166" s="1">
        <f t="shared" si="7"/>
        <v>403897.43825901853</v>
      </c>
    </row>
    <row r="167" spans="1:5">
      <c r="A167" s="120">
        <f t="shared" si="8"/>
        <v>165</v>
      </c>
      <c r="B167" s="1">
        <f>PMT(CFs!$B$7/12,CFs!$B$8,CFs!$B$6)</f>
        <v>-3698.1734523520558</v>
      </c>
      <c r="C167" s="2">
        <f>-E166*CFs!$B$7/12</f>
        <v>-2692.6495883934572</v>
      </c>
      <c r="D167" s="1">
        <f t="shared" si="6"/>
        <v>-1005.5238639585987</v>
      </c>
      <c r="E167" s="1">
        <f t="shared" si="7"/>
        <v>402891.91439505992</v>
      </c>
    </row>
    <row r="168" spans="1:5">
      <c r="A168" s="120">
        <f t="shared" si="8"/>
        <v>166</v>
      </c>
      <c r="B168" s="1">
        <f>PMT(CFs!$B$7/12,CFs!$B$8,CFs!$B$6)</f>
        <v>-3698.1734523520558</v>
      </c>
      <c r="C168" s="2">
        <f>-E167*CFs!$B$7/12</f>
        <v>-2685.9460959670664</v>
      </c>
      <c r="D168" s="1">
        <f t="shared" si="6"/>
        <v>-1012.2273563849894</v>
      </c>
      <c r="E168" s="1">
        <f t="shared" si="7"/>
        <v>401879.68703867495</v>
      </c>
    </row>
    <row r="169" spans="1:5">
      <c r="A169" s="120">
        <f t="shared" si="8"/>
        <v>167</v>
      </c>
      <c r="B169" s="1">
        <f>PMT(CFs!$B$7/12,CFs!$B$8,CFs!$B$6)</f>
        <v>-3698.1734523520558</v>
      </c>
      <c r="C169" s="2">
        <f>-E168*CFs!$B$7/12</f>
        <v>-2679.1979135911665</v>
      </c>
      <c r="D169" s="1">
        <f t="shared" si="6"/>
        <v>-1018.9755387608893</v>
      </c>
      <c r="E169" s="1">
        <f t="shared" si="7"/>
        <v>400860.71149991406</v>
      </c>
    </row>
    <row r="170" spans="1:5">
      <c r="A170" s="120">
        <f t="shared" si="8"/>
        <v>168</v>
      </c>
      <c r="B170" s="1">
        <f>PMT(CFs!$B$7/12,CFs!$B$8,CFs!$B$6)</f>
        <v>-3698.1734523520558</v>
      </c>
      <c r="C170" s="2">
        <f>-E169*CFs!$B$7/12</f>
        <v>-2672.4047433327605</v>
      </c>
      <c r="D170" s="1">
        <f t="shared" si="6"/>
        <v>-1025.7687090192953</v>
      </c>
      <c r="E170" s="1">
        <f t="shared" si="7"/>
        <v>399834.94279089477</v>
      </c>
    </row>
    <row r="171" spans="1:5">
      <c r="A171" s="120">
        <f t="shared" si="8"/>
        <v>169</v>
      </c>
      <c r="B171" s="1">
        <f>PMT(CFs!$B$7/12,CFs!$B$8,CFs!$B$6)</f>
        <v>-3698.1734523520558</v>
      </c>
      <c r="C171" s="2">
        <f>-E170*CFs!$B$7/12</f>
        <v>-2665.5662852726318</v>
      </c>
      <c r="D171" s="1">
        <f t="shared" si="6"/>
        <v>-1032.607167079424</v>
      </c>
      <c r="E171" s="1">
        <f t="shared" si="7"/>
        <v>398802.33562381536</v>
      </c>
    </row>
    <row r="172" spans="1:5">
      <c r="A172" s="120">
        <f t="shared" si="8"/>
        <v>170</v>
      </c>
      <c r="B172" s="1">
        <f>PMT(CFs!$B$7/12,CFs!$B$8,CFs!$B$6)</f>
        <v>-3698.1734523520558</v>
      </c>
      <c r="C172" s="2">
        <f>-E171*CFs!$B$7/12</f>
        <v>-2658.6822374921026</v>
      </c>
      <c r="D172" s="1">
        <f t="shared" si="6"/>
        <v>-1039.4912148599533</v>
      </c>
      <c r="E172" s="1">
        <f t="shared" si="7"/>
        <v>397762.84440895543</v>
      </c>
    </row>
    <row r="173" spans="1:5">
      <c r="A173" s="120">
        <f t="shared" si="8"/>
        <v>171</v>
      </c>
      <c r="B173" s="1">
        <f>PMT(CFs!$B$7/12,CFs!$B$8,CFs!$B$6)</f>
        <v>-3698.1734523520558</v>
      </c>
      <c r="C173" s="2">
        <f>-E172*CFs!$B$7/12</f>
        <v>-2651.752296059703</v>
      </c>
      <c r="D173" s="1">
        <f t="shared" si="6"/>
        <v>-1046.4211562923529</v>
      </c>
      <c r="E173" s="1">
        <f t="shared" si="7"/>
        <v>396716.42325266305</v>
      </c>
    </row>
    <row r="174" spans="1:5">
      <c r="A174" s="120">
        <f t="shared" si="8"/>
        <v>172</v>
      </c>
      <c r="B174" s="1">
        <f>PMT(CFs!$B$7/12,CFs!$B$8,CFs!$B$6)</f>
        <v>-3698.1734523520558</v>
      </c>
      <c r="C174" s="2">
        <f>-E173*CFs!$B$7/12</f>
        <v>-2644.7761550177538</v>
      </c>
      <c r="D174" s="1">
        <f t="shared" si="6"/>
        <v>-1053.397297334302</v>
      </c>
      <c r="E174" s="1">
        <f t="shared" si="7"/>
        <v>395663.02595532878</v>
      </c>
    </row>
    <row r="175" spans="1:5">
      <c r="A175" s="120">
        <f t="shared" si="8"/>
        <v>173</v>
      </c>
      <c r="B175" s="1">
        <f>PMT(CFs!$B$7/12,CFs!$B$8,CFs!$B$6)</f>
        <v>-3698.1734523520558</v>
      </c>
      <c r="C175" s="2">
        <f>-E174*CFs!$B$7/12</f>
        <v>-2637.7535063688588</v>
      </c>
      <c r="D175" s="1">
        <f t="shared" si="6"/>
        <v>-1060.4199459831971</v>
      </c>
      <c r="E175" s="1">
        <f t="shared" si="7"/>
        <v>394602.60600934556</v>
      </c>
    </row>
    <row r="176" spans="1:5">
      <c r="A176" s="120">
        <f t="shared" si="8"/>
        <v>174</v>
      </c>
      <c r="B176" s="1">
        <f>PMT(CFs!$B$7/12,CFs!$B$8,CFs!$B$6)</f>
        <v>-3698.1734523520558</v>
      </c>
      <c r="C176" s="2">
        <f>-E175*CFs!$B$7/12</f>
        <v>-2630.6840400623037</v>
      </c>
      <c r="D176" s="1">
        <f t="shared" si="6"/>
        <v>-1067.4894122897522</v>
      </c>
      <c r="E176" s="1">
        <f t="shared" si="7"/>
        <v>393535.11659705581</v>
      </c>
    </row>
    <row r="177" spans="1:5">
      <c r="A177" s="120">
        <f t="shared" si="8"/>
        <v>175</v>
      </c>
      <c r="B177" s="1">
        <f>PMT(CFs!$B$7/12,CFs!$B$8,CFs!$B$6)</f>
        <v>-3698.1734523520558</v>
      </c>
      <c r="C177" s="2">
        <f>-E176*CFs!$B$7/12</f>
        <v>-2623.567443980372</v>
      </c>
      <c r="D177" s="1">
        <f t="shared" si="6"/>
        <v>-1074.6060083716839</v>
      </c>
      <c r="E177" s="1">
        <f t="shared" si="7"/>
        <v>392460.51058868412</v>
      </c>
    </row>
    <row r="178" spans="1:5">
      <c r="A178" s="120">
        <f t="shared" si="8"/>
        <v>176</v>
      </c>
      <c r="B178" s="1">
        <f>PMT(CFs!$B$7/12,CFs!$B$8,CFs!$B$6)</f>
        <v>-3698.1734523520558</v>
      </c>
      <c r="C178" s="2">
        <f>-E177*CFs!$B$7/12</f>
        <v>-2616.4034039245607</v>
      </c>
      <c r="D178" s="1">
        <f t="shared" si="6"/>
        <v>-1081.7700484274951</v>
      </c>
      <c r="E178" s="1">
        <f t="shared" si="7"/>
        <v>391378.74054025661</v>
      </c>
    </row>
    <row r="179" spans="1:5">
      <c r="A179" s="120">
        <f t="shared" si="8"/>
        <v>177</v>
      </c>
      <c r="B179" s="1">
        <f>PMT(CFs!$B$7/12,CFs!$B$8,CFs!$B$6)</f>
        <v>-3698.1734523520558</v>
      </c>
      <c r="C179" s="2">
        <f>-E178*CFs!$B$7/12</f>
        <v>-2609.1916036017105</v>
      </c>
      <c r="D179" s="1">
        <f t="shared" si="6"/>
        <v>-1088.9818487503453</v>
      </c>
      <c r="E179" s="1">
        <f t="shared" si="7"/>
        <v>390289.75869150629</v>
      </c>
    </row>
    <row r="180" spans="1:5">
      <c r="A180" s="120">
        <f t="shared" si="8"/>
        <v>178</v>
      </c>
      <c r="B180" s="1">
        <f>PMT(CFs!$B$7/12,CFs!$B$8,CFs!$B$6)</f>
        <v>-3698.1734523520558</v>
      </c>
      <c r="C180" s="2">
        <f>-E179*CFs!$B$7/12</f>
        <v>-2601.9317246100422</v>
      </c>
      <c r="D180" s="1">
        <f t="shared" si="6"/>
        <v>-1096.2417277420136</v>
      </c>
      <c r="E180" s="1">
        <f t="shared" si="7"/>
        <v>389193.51696376427</v>
      </c>
    </row>
    <row r="181" spans="1:5">
      <c r="A181" s="120">
        <f t="shared" si="8"/>
        <v>179</v>
      </c>
      <c r="B181" s="1">
        <f>PMT(CFs!$B$7/12,CFs!$B$8,CFs!$B$6)</f>
        <v>-3698.1734523520558</v>
      </c>
      <c r="C181" s="2">
        <f>-E180*CFs!$B$7/12</f>
        <v>-2594.6234464250952</v>
      </c>
      <c r="D181" s="1">
        <f t="shared" ref="D181:D244" si="9">B181-C181</f>
        <v>-1103.5500059269607</v>
      </c>
      <c r="E181" s="1">
        <f t="shared" ref="E181:E244" si="10">E180+D181</f>
        <v>388089.96695783729</v>
      </c>
    </row>
    <row r="182" spans="1:5">
      <c r="A182" s="120">
        <f t="shared" si="8"/>
        <v>180</v>
      </c>
      <c r="B182" s="1">
        <f>PMT(CFs!$B$7/12,CFs!$B$8,CFs!$B$6)</f>
        <v>-3698.1734523520558</v>
      </c>
      <c r="C182" s="2">
        <f>-E181*CFs!$B$7/12</f>
        <v>-2587.2664463855822</v>
      </c>
      <c r="D182" s="1">
        <f t="shared" si="9"/>
        <v>-1110.9070059664737</v>
      </c>
      <c r="E182" s="1">
        <f t="shared" si="10"/>
        <v>386979.05995187082</v>
      </c>
    </row>
    <row r="183" spans="1:5">
      <c r="A183" s="120">
        <f t="shared" si="8"/>
        <v>181</v>
      </c>
      <c r="B183" s="1">
        <f>PMT(CFs!$B$7/12,CFs!$B$8,CFs!$B$6)</f>
        <v>-3698.1734523520558</v>
      </c>
      <c r="C183" s="2">
        <f>-E182*CFs!$B$7/12</f>
        <v>-2579.8603996791389</v>
      </c>
      <c r="D183" s="1">
        <f t="shared" si="9"/>
        <v>-1118.3130526729169</v>
      </c>
      <c r="E183" s="1">
        <f t="shared" si="10"/>
        <v>385860.74689919793</v>
      </c>
    </row>
    <row r="184" spans="1:5">
      <c r="A184" s="120">
        <f t="shared" si="8"/>
        <v>182</v>
      </c>
      <c r="B184" s="1">
        <f>PMT(CFs!$B$7/12,CFs!$B$8,CFs!$B$6)</f>
        <v>-3698.1734523520558</v>
      </c>
      <c r="C184" s="2">
        <f>-E183*CFs!$B$7/12</f>
        <v>-2572.404979327986</v>
      </c>
      <c r="D184" s="1">
        <f t="shared" si="9"/>
        <v>-1125.7684730240699</v>
      </c>
      <c r="E184" s="1">
        <f t="shared" si="10"/>
        <v>384734.97842617385</v>
      </c>
    </row>
    <row r="185" spans="1:5">
      <c r="A185" s="120">
        <f t="shared" si="8"/>
        <v>183</v>
      </c>
      <c r="B185" s="1">
        <f>PMT(CFs!$B$7/12,CFs!$B$8,CFs!$B$6)</f>
        <v>-3698.1734523520558</v>
      </c>
      <c r="C185" s="2">
        <f>-E184*CFs!$B$7/12</f>
        <v>-2564.8998561744925</v>
      </c>
      <c r="D185" s="1">
        <f t="shared" si="9"/>
        <v>-1133.2735961775634</v>
      </c>
      <c r="E185" s="1">
        <f t="shared" si="10"/>
        <v>383601.70482999628</v>
      </c>
    </row>
    <row r="186" spans="1:5">
      <c r="A186" s="120">
        <f t="shared" si="8"/>
        <v>184</v>
      </c>
      <c r="B186" s="1">
        <f>PMT(CFs!$B$7/12,CFs!$B$8,CFs!$B$6)</f>
        <v>-3698.1734523520558</v>
      </c>
      <c r="C186" s="2">
        <f>-E185*CFs!$B$7/12</f>
        <v>-2557.3446988666419</v>
      </c>
      <c r="D186" s="1">
        <f t="shared" si="9"/>
        <v>-1140.8287534854139</v>
      </c>
      <c r="E186" s="1">
        <f t="shared" si="10"/>
        <v>382460.87607651087</v>
      </c>
    </row>
    <row r="187" spans="1:5">
      <c r="A187" s="120">
        <f t="shared" si="8"/>
        <v>185</v>
      </c>
      <c r="B187" s="1">
        <f>PMT(CFs!$B$7/12,CFs!$B$8,CFs!$B$6)</f>
        <v>-3698.1734523520558</v>
      </c>
      <c r="C187" s="2">
        <f>-E186*CFs!$B$7/12</f>
        <v>-2549.7391738434058</v>
      </c>
      <c r="D187" s="1">
        <f t="shared" si="9"/>
        <v>-1148.4342785086501</v>
      </c>
      <c r="E187" s="1">
        <f t="shared" si="10"/>
        <v>381312.44179800223</v>
      </c>
    </row>
    <row r="188" spans="1:5">
      <c r="A188" s="120">
        <f t="shared" si="8"/>
        <v>186</v>
      </c>
      <c r="B188" s="1">
        <f>PMT(CFs!$B$7/12,CFs!$B$8,CFs!$B$6)</f>
        <v>-3698.1734523520558</v>
      </c>
      <c r="C188" s="2">
        <f>-E187*CFs!$B$7/12</f>
        <v>-2542.0829453200149</v>
      </c>
      <c r="D188" s="1">
        <f t="shared" si="9"/>
        <v>-1156.0905070320409</v>
      </c>
      <c r="E188" s="1">
        <f t="shared" si="10"/>
        <v>380156.35129097017</v>
      </c>
    </row>
    <row r="189" spans="1:5">
      <c r="A189" s="120">
        <f t="shared" si="8"/>
        <v>187</v>
      </c>
      <c r="B189" s="1">
        <f>PMT(CFs!$B$7/12,CFs!$B$8,CFs!$B$6)</f>
        <v>-3698.1734523520558</v>
      </c>
      <c r="C189" s="2">
        <f>-E188*CFs!$B$7/12</f>
        <v>-2534.3756752731347</v>
      </c>
      <c r="D189" s="1">
        <f t="shared" si="9"/>
        <v>-1163.7977770789212</v>
      </c>
      <c r="E189" s="1">
        <f t="shared" si="10"/>
        <v>378992.55351389124</v>
      </c>
    </row>
    <row r="190" spans="1:5">
      <c r="A190" s="120">
        <f t="shared" si="8"/>
        <v>188</v>
      </c>
      <c r="B190" s="1">
        <f>PMT(CFs!$B$7/12,CFs!$B$8,CFs!$B$6)</f>
        <v>-3698.1734523520558</v>
      </c>
      <c r="C190" s="2">
        <f>-E189*CFs!$B$7/12</f>
        <v>-2526.6170234259416</v>
      </c>
      <c r="D190" s="1">
        <f t="shared" si="9"/>
        <v>-1171.5564289261142</v>
      </c>
      <c r="E190" s="1">
        <f t="shared" si="10"/>
        <v>377820.99708496511</v>
      </c>
    </row>
    <row r="191" spans="1:5">
      <c r="A191" s="120">
        <f t="shared" si="8"/>
        <v>189</v>
      </c>
      <c r="B191" s="1">
        <f>PMT(CFs!$B$7/12,CFs!$B$8,CFs!$B$6)</f>
        <v>-3698.1734523520558</v>
      </c>
      <c r="C191" s="2">
        <f>-E190*CFs!$B$7/12</f>
        <v>-2518.8066472331006</v>
      </c>
      <c r="D191" s="1">
        <f t="shared" si="9"/>
        <v>-1179.3668051189552</v>
      </c>
      <c r="E191" s="1">
        <f t="shared" si="10"/>
        <v>376641.63027984614</v>
      </c>
    </row>
    <row r="192" spans="1:5">
      <c r="A192" s="120">
        <f t="shared" si="8"/>
        <v>190</v>
      </c>
      <c r="B192" s="1">
        <f>PMT(CFs!$B$7/12,CFs!$B$8,CFs!$B$6)</f>
        <v>-3698.1734523520558</v>
      </c>
      <c r="C192" s="2">
        <f>-E191*CFs!$B$7/12</f>
        <v>-2510.9442018656409</v>
      </c>
      <c r="D192" s="1">
        <f t="shared" si="9"/>
        <v>-1187.2292504864149</v>
      </c>
      <c r="E192" s="1">
        <f t="shared" si="10"/>
        <v>375454.40102935972</v>
      </c>
    </row>
    <row r="193" spans="1:5">
      <c r="A193" s="120">
        <f t="shared" si="8"/>
        <v>191</v>
      </c>
      <c r="B193" s="1">
        <f>PMT(CFs!$B$7/12,CFs!$B$8,CFs!$B$6)</f>
        <v>-3698.1734523520558</v>
      </c>
      <c r="C193" s="2">
        <f>-E192*CFs!$B$7/12</f>
        <v>-2503.0293401957315</v>
      </c>
      <c r="D193" s="1">
        <f t="shared" si="9"/>
        <v>-1195.1441121563244</v>
      </c>
      <c r="E193" s="1">
        <f t="shared" si="10"/>
        <v>374259.25691720343</v>
      </c>
    </row>
    <row r="194" spans="1:5">
      <c r="A194" s="120">
        <f t="shared" si="8"/>
        <v>192</v>
      </c>
      <c r="B194" s="1">
        <f>PMT(CFs!$B$7/12,CFs!$B$8,CFs!$B$6)</f>
        <v>-3698.1734523520558</v>
      </c>
      <c r="C194" s="2">
        <f>-E193*CFs!$B$7/12</f>
        <v>-2495.0617127813562</v>
      </c>
      <c r="D194" s="1">
        <f t="shared" si="9"/>
        <v>-1203.1117395706997</v>
      </c>
      <c r="E194" s="1">
        <f t="shared" si="10"/>
        <v>373056.14517763274</v>
      </c>
    </row>
    <row r="195" spans="1:5">
      <c r="A195" s="120">
        <f t="shared" si="8"/>
        <v>193</v>
      </c>
      <c r="B195" s="1">
        <f>PMT(CFs!$B$7/12,CFs!$B$8,CFs!$B$6)</f>
        <v>-3698.1734523520558</v>
      </c>
      <c r="C195" s="2">
        <f>-E194*CFs!$B$7/12</f>
        <v>-2487.040967850885</v>
      </c>
      <c r="D195" s="1">
        <f t="shared" si="9"/>
        <v>-1211.1324845011709</v>
      </c>
      <c r="E195" s="1">
        <f t="shared" si="10"/>
        <v>371845.01269313158</v>
      </c>
    </row>
    <row r="196" spans="1:5">
      <c r="A196" s="120">
        <f t="shared" si="8"/>
        <v>194</v>
      </c>
      <c r="B196" s="1">
        <f>PMT(CFs!$B$7/12,CFs!$B$8,CFs!$B$6)</f>
        <v>-3698.1734523520558</v>
      </c>
      <c r="C196" s="2">
        <f>-E195*CFs!$B$7/12</f>
        <v>-2478.966751287544</v>
      </c>
      <c r="D196" s="1">
        <f t="shared" si="9"/>
        <v>-1219.2067010645119</v>
      </c>
      <c r="E196" s="1">
        <f t="shared" si="10"/>
        <v>370625.80599206703</v>
      </c>
    </row>
    <row r="197" spans="1:5">
      <c r="A197" s="120">
        <f t="shared" ref="A197:A260" si="11">A196+1</f>
        <v>195</v>
      </c>
      <c r="B197" s="1">
        <f>PMT(CFs!$B$7/12,CFs!$B$8,CFs!$B$6)</f>
        <v>-3698.1734523520558</v>
      </c>
      <c r="C197" s="2">
        <f>-E196*CFs!$B$7/12</f>
        <v>-2470.8387066137802</v>
      </c>
      <c r="D197" s="1">
        <f t="shared" si="9"/>
        <v>-1227.3347457382756</v>
      </c>
      <c r="E197" s="1">
        <f t="shared" si="10"/>
        <v>369398.47124632879</v>
      </c>
    </row>
    <row r="198" spans="1:5">
      <c r="A198" s="120">
        <f t="shared" si="11"/>
        <v>196</v>
      </c>
      <c r="B198" s="1">
        <f>PMT(CFs!$B$7/12,CFs!$B$8,CFs!$B$6)</f>
        <v>-3698.1734523520558</v>
      </c>
      <c r="C198" s="2">
        <f>-E197*CFs!$B$7/12</f>
        <v>-2462.6564749755253</v>
      </c>
      <c r="D198" s="1">
        <f t="shared" si="9"/>
        <v>-1235.5169773765306</v>
      </c>
      <c r="E198" s="1">
        <f t="shared" si="10"/>
        <v>368162.95426895225</v>
      </c>
    </row>
    <row r="199" spans="1:5">
      <c r="A199" s="120">
        <f t="shared" si="11"/>
        <v>197</v>
      </c>
      <c r="B199" s="1">
        <f>PMT(CFs!$B$7/12,CFs!$B$8,CFs!$B$6)</f>
        <v>-3698.1734523520558</v>
      </c>
      <c r="C199" s="2">
        <f>-E198*CFs!$B$7/12</f>
        <v>-2454.4196951263484</v>
      </c>
      <c r="D199" s="1">
        <f t="shared" si="9"/>
        <v>-1243.7537572257074</v>
      </c>
      <c r="E199" s="1">
        <f t="shared" si="10"/>
        <v>366919.20051172655</v>
      </c>
    </row>
    <row r="200" spans="1:5">
      <c r="A200" s="120">
        <f t="shared" si="11"/>
        <v>198</v>
      </c>
      <c r="B200" s="1">
        <f>PMT(CFs!$B$7/12,CFs!$B$8,CFs!$B$6)</f>
        <v>-3698.1734523520558</v>
      </c>
      <c r="C200" s="2">
        <f>-E199*CFs!$B$7/12</f>
        <v>-2446.1280034115102</v>
      </c>
      <c r="D200" s="1">
        <f t="shared" si="9"/>
        <v>-1252.0454489405456</v>
      </c>
      <c r="E200" s="1">
        <f t="shared" si="10"/>
        <v>365667.15506278601</v>
      </c>
    </row>
    <row r="201" spans="1:5">
      <c r="A201" s="120">
        <f t="shared" si="11"/>
        <v>199</v>
      </c>
      <c r="B201" s="1">
        <f>PMT(CFs!$B$7/12,CFs!$B$8,CFs!$B$6)</f>
        <v>-3698.1734523520558</v>
      </c>
      <c r="C201" s="2">
        <f>-E200*CFs!$B$7/12</f>
        <v>-2437.7810337519068</v>
      </c>
      <c r="D201" s="1">
        <f t="shared" si="9"/>
        <v>-1260.3924186001491</v>
      </c>
      <c r="E201" s="1">
        <f t="shared" si="10"/>
        <v>364406.76264418586</v>
      </c>
    </row>
    <row r="202" spans="1:5">
      <c r="A202" s="120">
        <f t="shared" si="11"/>
        <v>200</v>
      </c>
      <c r="B202" s="1">
        <f>PMT(CFs!$B$7/12,CFs!$B$8,CFs!$B$6)</f>
        <v>-3698.1734523520558</v>
      </c>
      <c r="C202" s="2">
        <f>-E201*CFs!$B$7/12</f>
        <v>-2429.3784176279055</v>
      </c>
      <c r="D202" s="1">
        <f t="shared" si="9"/>
        <v>-1268.7950347241504</v>
      </c>
      <c r="E202" s="1">
        <f t="shared" si="10"/>
        <v>363137.96760946169</v>
      </c>
    </row>
    <row r="203" spans="1:5">
      <c r="A203" s="120">
        <f t="shared" si="11"/>
        <v>201</v>
      </c>
      <c r="B203" s="1">
        <f>PMT(CFs!$B$7/12,CFs!$B$8,CFs!$B$6)</f>
        <v>-3698.1734523520558</v>
      </c>
      <c r="C203" s="2">
        <f>-E202*CFs!$B$7/12</f>
        <v>-2420.9197840630782</v>
      </c>
      <c r="D203" s="1">
        <f t="shared" si="9"/>
        <v>-1277.2536682889777</v>
      </c>
      <c r="E203" s="1">
        <f t="shared" si="10"/>
        <v>361860.7139411727</v>
      </c>
    </row>
    <row r="204" spans="1:5">
      <c r="A204" s="120">
        <f t="shared" si="11"/>
        <v>202</v>
      </c>
      <c r="B204" s="1">
        <f>PMT(CFs!$B$7/12,CFs!$B$8,CFs!$B$6)</f>
        <v>-3698.1734523520558</v>
      </c>
      <c r="C204" s="2">
        <f>-E203*CFs!$B$7/12</f>
        <v>-2412.4047596078181</v>
      </c>
      <c r="D204" s="1">
        <f t="shared" si="9"/>
        <v>-1285.7686927442378</v>
      </c>
      <c r="E204" s="1">
        <f t="shared" si="10"/>
        <v>360574.94524842844</v>
      </c>
    </row>
    <row r="205" spans="1:5">
      <c r="A205" s="120">
        <f t="shared" si="11"/>
        <v>203</v>
      </c>
      <c r="B205" s="1">
        <f>PMT(CFs!$B$7/12,CFs!$B$8,CFs!$B$6)</f>
        <v>-3698.1734523520558</v>
      </c>
      <c r="C205" s="2">
        <f>-E204*CFs!$B$7/12</f>
        <v>-2403.8329683228562</v>
      </c>
      <c r="D205" s="1">
        <f t="shared" si="9"/>
        <v>-1294.3404840291996</v>
      </c>
      <c r="E205" s="1">
        <f t="shared" si="10"/>
        <v>359280.60476439924</v>
      </c>
    </row>
    <row r="206" spans="1:5">
      <c r="A206" s="120">
        <f t="shared" si="11"/>
        <v>204</v>
      </c>
      <c r="B206" s="1">
        <f>PMT(CFs!$B$7/12,CFs!$B$8,CFs!$B$6)</f>
        <v>-3698.1734523520558</v>
      </c>
      <c r="C206" s="2">
        <f>-E205*CFs!$B$7/12</f>
        <v>-2395.2040317626615</v>
      </c>
      <c r="D206" s="1">
        <f t="shared" si="9"/>
        <v>-1302.9694205893943</v>
      </c>
      <c r="E206" s="1">
        <f t="shared" si="10"/>
        <v>357977.63534380984</v>
      </c>
    </row>
    <row r="207" spans="1:5">
      <c r="A207" s="120">
        <f t="shared" si="11"/>
        <v>205</v>
      </c>
      <c r="B207" s="1">
        <f>PMT(CFs!$B$7/12,CFs!$B$8,CFs!$B$6)</f>
        <v>-3698.1734523520558</v>
      </c>
      <c r="C207" s="2">
        <f>-E206*CFs!$B$7/12</f>
        <v>-2386.5175689587322</v>
      </c>
      <c r="D207" s="1">
        <f t="shared" si="9"/>
        <v>-1311.6558833933236</v>
      </c>
      <c r="E207" s="1">
        <f t="shared" si="10"/>
        <v>356665.97946041654</v>
      </c>
    </row>
    <row r="208" spans="1:5">
      <c r="A208" s="120">
        <f t="shared" si="11"/>
        <v>206</v>
      </c>
      <c r="B208" s="1">
        <f>PMT(CFs!$B$7/12,CFs!$B$8,CFs!$B$6)</f>
        <v>-3698.1734523520558</v>
      </c>
      <c r="C208" s="2">
        <f>-E207*CFs!$B$7/12</f>
        <v>-2377.7731964027771</v>
      </c>
      <c r="D208" s="1">
        <f t="shared" si="9"/>
        <v>-1320.4002559492787</v>
      </c>
      <c r="E208" s="1">
        <f t="shared" si="10"/>
        <v>355345.57920446724</v>
      </c>
    </row>
    <row r="209" spans="1:5">
      <c r="A209" s="120">
        <f t="shared" si="11"/>
        <v>207</v>
      </c>
      <c r="B209" s="1">
        <f>PMT(CFs!$B$7/12,CFs!$B$8,CFs!$B$6)</f>
        <v>-3698.1734523520558</v>
      </c>
      <c r="C209" s="2">
        <f>-E208*CFs!$B$7/12</f>
        <v>-2368.9705280297817</v>
      </c>
      <c r="D209" s="1">
        <f t="shared" si="9"/>
        <v>-1329.2029243222742</v>
      </c>
      <c r="E209" s="1">
        <f t="shared" si="10"/>
        <v>354016.37628014496</v>
      </c>
    </row>
    <row r="210" spans="1:5">
      <c r="A210" s="120">
        <f t="shared" si="11"/>
        <v>208</v>
      </c>
      <c r="B210" s="1">
        <f>PMT(CFs!$B$7/12,CFs!$B$8,CFs!$B$6)</f>
        <v>-3698.1734523520558</v>
      </c>
      <c r="C210" s="2">
        <f>-E209*CFs!$B$7/12</f>
        <v>-2360.1091752009665</v>
      </c>
      <c r="D210" s="1">
        <f t="shared" si="9"/>
        <v>-1338.0642771510893</v>
      </c>
      <c r="E210" s="1">
        <f t="shared" si="10"/>
        <v>352678.31200299389</v>
      </c>
    </row>
    <row r="211" spans="1:5">
      <c r="A211" s="120">
        <f t="shared" si="11"/>
        <v>209</v>
      </c>
      <c r="B211" s="1">
        <f>PMT(CFs!$B$7/12,CFs!$B$8,CFs!$B$6)</f>
        <v>-3698.1734523520558</v>
      </c>
      <c r="C211" s="2">
        <f>-E210*CFs!$B$7/12</f>
        <v>-2351.188746686626</v>
      </c>
      <c r="D211" s="1">
        <f t="shared" si="9"/>
        <v>-1346.9847056654298</v>
      </c>
      <c r="E211" s="1">
        <f t="shared" si="10"/>
        <v>351331.32729732845</v>
      </c>
    </row>
    <row r="212" spans="1:5">
      <c r="A212" s="120">
        <f t="shared" si="11"/>
        <v>210</v>
      </c>
      <c r="B212" s="1">
        <f>PMT(CFs!$B$7/12,CFs!$B$8,CFs!$B$6)</f>
        <v>-3698.1734523520558</v>
      </c>
      <c r="C212" s="2">
        <f>-E211*CFs!$B$7/12</f>
        <v>-2342.2088486488565</v>
      </c>
      <c r="D212" s="1">
        <f t="shared" si="9"/>
        <v>-1355.9646037031994</v>
      </c>
      <c r="E212" s="1">
        <f t="shared" si="10"/>
        <v>349975.36269362527</v>
      </c>
    </row>
    <row r="213" spans="1:5">
      <c r="A213" s="120">
        <f t="shared" si="11"/>
        <v>211</v>
      </c>
      <c r="B213" s="1">
        <f>PMT(CFs!$B$7/12,CFs!$B$8,CFs!$B$6)</f>
        <v>-3698.1734523520558</v>
      </c>
      <c r="C213" s="2">
        <f>-E212*CFs!$B$7/12</f>
        <v>-2333.1690846241686</v>
      </c>
      <c r="D213" s="1">
        <f t="shared" si="9"/>
        <v>-1365.0043677278873</v>
      </c>
      <c r="E213" s="1">
        <f t="shared" si="10"/>
        <v>348610.35832589737</v>
      </c>
    </row>
    <row r="214" spans="1:5">
      <c r="A214" s="120">
        <f t="shared" si="11"/>
        <v>212</v>
      </c>
      <c r="B214" s="1">
        <f>PMT(CFs!$B$7/12,CFs!$B$8,CFs!$B$6)</f>
        <v>-3698.1734523520558</v>
      </c>
      <c r="C214" s="2">
        <f>-E213*CFs!$B$7/12</f>
        <v>-2324.0690555059823</v>
      </c>
      <c r="D214" s="1">
        <f t="shared" si="9"/>
        <v>-1374.1043968460735</v>
      </c>
      <c r="E214" s="1">
        <f t="shared" si="10"/>
        <v>347236.25392905128</v>
      </c>
    </row>
    <row r="215" spans="1:5">
      <c r="A215" s="120">
        <f t="shared" si="11"/>
        <v>213</v>
      </c>
      <c r="B215" s="1">
        <f>PMT(CFs!$B$7/12,CFs!$B$8,CFs!$B$6)</f>
        <v>-3698.1734523520558</v>
      </c>
      <c r="C215" s="2">
        <f>-E214*CFs!$B$7/12</f>
        <v>-2314.9083595270085</v>
      </c>
      <c r="D215" s="1">
        <f t="shared" si="9"/>
        <v>-1383.2650928250473</v>
      </c>
      <c r="E215" s="1">
        <f t="shared" si="10"/>
        <v>345852.98883622623</v>
      </c>
    </row>
    <row r="216" spans="1:5">
      <c r="A216" s="120">
        <f t="shared" si="11"/>
        <v>214</v>
      </c>
      <c r="B216" s="1">
        <f>PMT(CFs!$B$7/12,CFs!$B$8,CFs!$B$6)</f>
        <v>-3698.1734523520558</v>
      </c>
      <c r="C216" s="2">
        <f>-E215*CFs!$B$7/12</f>
        <v>-2305.6865922415082</v>
      </c>
      <c r="D216" s="1">
        <f t="shared" si="9"/>
        <v>-1392.4868601105477</v>
      </c>
      <c r="E216" s="1">
        <f t="shared" si="10"/>
        <v>344460.50197611569</v>
      </c>
    </row>
    <row r="217" spans="1:5">
      <c r="A217" s="120">
        <f t="shared" si="11"/>
        <v>215</v>
      </c>
      <c r="B217" s="1">
        <f>PMT(CFs!$B$7/12,CFs!$B$8,CFs!$B$6)</f>
        <v>-3698.1734523520558</v>
      </c>
      <c r="C217" s="2">
        <f>-E216*CFs!$B$7/12</f>
        <v>-2296.4033465074381</v>
      </c>
      <c r="D217" s="1">
        <f t="shared" si="9"/>
        <v>-1401.7701058446178</v>
      </c>
      <c r="E217" s="1">
        <f t="shared" si="10"/>
        <v>343058.73187027109</v>
      </c>
    </row>
    <row r="218" spans="1:5">
      <c r="A218" s="120">
        <f t="shared" si="11"/>
        <v>216</v>
      </c>
      <c r="B218" s="1">
        <f>PMT(CFs!$B$7/12,CFs!$B$8,CFs!$B$6)</f>
        <v>-3698.1734523520558</v>
      </c>
      <c r="C218" s="2">
        <f>-E217*CFs!$B$7/12</f>
        <v>-2287.0582124684738</v>
      </c>
      <c r="D218" s="1">
        <f t="shared" si="9"/>
        <v>-1411.115239883582</v>
      </c>
      <c r="E218" s="1">
        <f t="shared" si="10"/>
        <v>341647.61663038749</v>
      </c>
    </row>
    <row r="219" spans="1:5">
      <c r="A219" s="120">
        <f t="shared" si="11"/>
        <v>217</v>
      </c>
      <c r="B219" s="1">
        <f>PMT(CFs!$B$7/12,CFs!$B$8,CFs!$B$6)</f>
        <v>-3698.1734523520558</v>
      </c>
      <c r="C219" s="2">
        <f>-E218*CFs!$B$7/12</f>
        <v>-2277.6507775359164</v>
      </c>
      <c r="D219" s="1">
        <f t="shared" si="9"/>
        <v>-1420.5226748161394</v>
      </c>
      <c r="E219" s="1">
        <f t="shared" si="10"/>
        <v>340227.09395557136</v>
      </c>
    </row>
    <row r="220" spans="1:5">
      <c r="A220" s="120">
        <f t="shared" si="11"/>
        <v>218</v>
      </c>
      <c r="B220" s="1">
        <f>PMT(CFs!$B$7/12,CFs!$B$8,CFs!$B$6)</f>
        <v>-3698.1734523520558</v>
      </c>
      <c r="C220" s="2">
        <f>-E219*CFs!$B$7/12</f>
        <v>-2268.1806263704757</v>
      </c>
      <c r="D220" s="1">
        <f t="shared" si="9"/>
        <v>-1429.9928259815802</v>
      </c>
      <c r="E220" s="1">
        <f t="shared" si="10"/>
        <v>338797.10112958978</v>
      </c>
    </row>
    <row r="221" spans="1:5">
      <c r="A221" s="120">
        <f t="shared" si="11"/>
        <v>219</v>
      </c>
      <c r="B221" s="1">
        <f>PMT(CFs!$B$7/12,CFs!$B$8,CFs!$B$6)</f>
        <v>-3698.1734523520558</v>
      </c>
      <c r="C221" s="2">
        <f>-E220*CFs!$B$7/12</f>
        <v>-2258.6473408639317</v>
      </c>
      <c r="D221" s="1">
        <f t="shared" si="9"/>
        <v>-1439.5261114881241</v>
      </c>
      <c r="E221" s="1">
        <f t="shared" si="10"/>
        <v>337357.57501810166</v>
      </c>
    </row>
    <row r="222" spans="1:5">
      <c r="A222" s="120">
        <f t="shared" si="11"/>
        <v>220</v>
      </c>
      <c r="B222" s="1">
        <f>PMT(CFs!$B$7/12,CFs!$B$8,CFs!$B$6)</f>
        <v>-3698.1734523520558</v>
      </c>
      <c r="C222" s="2">
        <f>-E221*CFs!$B$7/12</f>
        <v>-2249.050500120678</v>
      </c>
      <c r="D222" s="1">
        <f t="shared" si="9"/>
        <v>-1449.1229522313779</v>
      </c>
      <c r="E222" s="1">
        <f t="shared" si="10"/>
        <v>335908.45206587028</v>
      </c>
    </row>
    <row r="223" spans="1:5">
      <c r="A223" s="120">
        <f t="shared" si="11"/>
        <v>221</v>
      </c>
      <c r="B223" s="1">
        <f>PMT(CFs!$B$7/12,CFs!$B$8,CFs!$B$6)</f>
        <v>-3698.1734523520558</v>
      </c>
      <c r="C223" s="2">
        <f>-E222*CFs!$B$7/12</f>
        <v>-2239.3896804391352</v>
      </c>
      <c r="D223" s="1">
        <f t="shared" si="9"/>
        <v>-1458.7837719129207</v>
      </c>
      <c r="E223" s="1">
        <f t="shared" si="10"/>
        <v>334449.66829395737</v>
      </c>
    </row>
    <row r="224" spans="1:5">
      <c r="A224" s="120">
        <f t="shared" si="11"/>
        <v>222</v>
      </c>
      <c r="B224" s="1">
        <f>PMT(CFs!$B$7/12,CFs!$B$8,CFs!$B$6)</f>
        <v>-3698.1734523520558</v>
      </c>
      <c r="C224" s="2">
        <f>-E223*CFs!$B$7/12</f>
        <v>-2229.6644552930493</v>
      </c>
      <c r="D224" s="1">
        <f t="shared" si="9"/>
        <v>-1468.5089970590066</v>
      </c>
      <c r="E224" s="1">
        <f t="shared" si="10"/>
        <v>332981.15929689835</v>
      </c>
    </row>
    <row r="225" spans="1:5">
      <c r="A225" s="120">
        <f t="shared" si="11"/>
        <v>223</v>
      </c>
      <c r="B225" s="1">
        <f>PMT(CFs!$B$7/12,CFs!$B$8,CFs!$B$6)</f>
        <v>-3698.1734523520558</v>
      </c>
      <c r="C225" s="2">
        <f>-E224*CFs!$B$7/12</f>
        <v>-2219.8743953126555</v>
      </c>
      <c r="D225" s="1">
        <f t="shared" si="9"/>
        <v>-1478.2990570394004</v>
      </c>
      <c r="E225" s="1">
        <f t="shared" si="10"/>
        <v>331502.86023985897</v>
      </c>
    </row>
    <row r="226" spans="1:5">
      <c r="A226" s="120">
        <f t="shared" si="11"/>
        <v>224</v>
      </c>
      <c r="B226" s="1">
        <f>PMT(CFs!$B$7/12,CFs!$B$8,CFs!$B$6)</f>
        <v>-3698.1734523520558</v>
      </c>
      <c r="C226" s="2">
        <f>-E225*CFs!$B$7/12</f>
        <v>-2210.0190682657267</v>
      </c>
      <c r="D226" s="1">
        <f t="shared" si="9"/>
        <v>-1488.1543840863292</v>
      </c>
      <c r="E226" s="1">
        <f t="shared" si="10"/>
        <v>330014.70585577266</v>
      </c>
    </row>
    <row r="227" spans="1:5">
      <c r="A227" s="120">
        <f t="shared" si="11"/>
        <v>225</v>
      </c>
      <c r="B227" s="1">
        <f>PMT(CFs!$B$7/12,CFs!$B$8,CFs!$B$6)</f>
        <v>-3698.1734523520558</v>
      </c>
      <c r="C227" s="2">
        <f>-E226*CFs!$B$7/12</f>
        <v>-2200.0980390384843</v>
      </c>
      <c r="D227" s="1">
        <f t="shared" si="9"/>
        <v>-1498.0754133135715</v>
      </c>
      <c r="E227" s="1">
        <f t="shared" si="10"/>
        <v>328516.63044245908</v>
      </c>
    </row>
    <row r="228" spans="1:5">
      <c r="A228" s="120">
        <f t="shared" si="11"/>
        <v>226</v>
      </c>
      <c r="B228" s="1">
        <f>PMT(CFs!$B$7/12,CFs!$B$8,CFs!$B$6)</f>
        <v>-3698.1734523520558</v>
      </c>
      <c r="C228" s="2">
        <f>-E227*CFs!$B$7/12</f>
        <v>-2190.1108696163938</v>
      </c>
      <c r="D228" s="1">
        <f t="shared" si="9"/>
        <v>-1508.0625827356621</v>
      </c>
      <c r="E228" s="1">
        <f t="shared" si="10"/>
        <v>327008.56785972341</v>
      </c>
    </row>
    <row r="229" spans="1:5">
      <c r="A229" s="120">
        <f t="shared" si="11"/>
        <v>227</v>
      </c>
      <c r="B229" s="1">
        <f>PMT(CFs!$B$7/12,CFs!$B$8,CFs!$B$6)</f>
        <v>-3698.1734523520558</v>
      </c>
      <c r="C229" s="2">
        <f>-E228*CFs!$B$7/12</f>
        <v>-2180.0571190648229</v>
      </c>
      <c r="D229" s="1">
        <f t="shared" si="9"/>
        <v>-1518.1163332872329</v>
      </c>
      <c r="E229" s="1">
        <f t="shared" si="10"/>
        <v>325490.4515264362</v>
      </c>
    </row>
    <row r="230" spans="1:5">
      <c r="A230" s="120">
        <f t="shared" si="11"/>
        <v>228</v>
      </c>
      <c r="B230" s="1">
        <f>PMT(CFs!$B$7/12,CFs!$B$8,CFs!$B$6)</f>
        <v>-3698.1734523520558</v>
      </c>
      <c r="C230" s="2">
        <f>-E229*CFs!$B$7/12</f>
        <v>-2169.9363435095747</v>
      </c>
      <c r="D230" s="1">
        <f t="shared" si="9"/>
        <v>-1528.2371088424811</v>
      </c>
      <c r="E230" s="1">
        <f t="shared" si="10"/>
        <v>323962.21441759373</v>
      </c>
    </row>
    <row r="231" spans="1:5">
      <c r="A231" s="120">
        <f t="shared" si="11"/>
        <v>229</v>
      </c>
      <c r="B231" s="1">
        <f>PMT(CFs!$B$7/12,CFs!$B$8,CFs!$B$6)</f>
        <v>-3698.1734523520558</v>
      </c>
      <c r="C231" s="2">
        <f>-E230*CFs!$B$7/12</f>
        <v>-2159.7480961172914</v>
      </c>
      <c r="D231" s="1">
        <f t="shared" si="9"/>
        <v>-1538.4253562347644</v>
      </c>
      <c r="E231" s="1">
        <f t="shared" si="10"/>
        <v>322423.78906135896</v>
      </c>
    </row>
    <row r="232" spans="1:5">
      <c r="A232" s="120">
        <f t="shared" si="11"/>
        <v>230</v>
      </c>
      <c r="B232" s="1">
        <f>PMT(CFs!$B$7/12,CFs!$B$8,CFs!$B$6)</f>
        <v>-3698.1734523520558</v>
      </c>
      <c r="C232" s="2">
        <f>-E231*CFs!$B$7/12</f>
        <v>-2149.4919270757264</v>
      </c>
      <c r="D232" s="1">
        <f t="shared" si="9"/>
        <v>-1548.6815252763295</v>
      </c>
      <c r="E232" s="1">
        <f t="shared" si="10"/>
        <v>320875.10753608262</v>
      </c>
    </row>
    <row r="233" spans="1:5">
      <c r="A233" s="120">
        <f t="shared" si="11"/>
        <v>231</v>
      </c>
      <c r="B233" s="1">
        <f>PMT(CFs!$B$7/12,CFs!$B$8,CFs!$B$6)</f>
        <v>-3698.1734523520558</v>
      </c>
      <c r="C233" s="2">
        <f>-E232*CFs!$B$7/12</f>
        <v>-2139.1673835738843</v>
      </c>
      <c r="D233" s="1">
        <f t="shared" si="9"/>
        <v>-1559.0060687781715</v>
      </c>
      <c r="E233" s="1">
        <f t="shared" si="10"/>
        <v>319316.10146730446</v>
      </c>
    </row>
    <row r="234" spans="1:5">
      <c r="A234" s="120">
        <f t="shared" si="11"/>
        <v>232</v>
      </c>
      <c r="B234" s="1">
        <f>PMT(CFs!$B$7/12,CFs!$B$8,CFs!$B$6)</f>
        <v>-3698.1734523520558</v>
      </c>
      <c r="C234" s="2">
        <f>-E233*CFs!$B$7/12</f>
        <v>-2128.7740097820297</v>
      </c>
      <c r="D234" s="1">
        <f t="shared" si="9"/>
        <v>-1569.3994425700262</v>
      </c>
      <c r="E234" s="1">
        <f t="shared" si="10"/>
        <v>317746.7020247344</v>
      </c>
    </row>
    <row r="235" spans="1:5">
      <c r="A235" s="120">
        <f t="shared" si="11"/>
        <v>233</v>
      </c>
      <c r="B235" s="1">
        <f>PMT(CFs!$B$7/12,CFs!$B$8,CFs!$B$6)</f>
        <v>-3698.1734523520558</v>
      </c>
      <c r="C235" s="2">
        <f>-E234*CFs!$B$7/12</f>
        <v>-2118.3113468315628</v>
      </c>
      <c r="D235" s="1">
        <f t="shared" si="9"/>
        <v>-1579.8621055204931</v>
      </c>
      <c r="E235" s="1">
        <f t="shared" si="10"/>
        <v>316166.8399192139</v>
      </c>
    </row>
    <row r="236" spans="1:5">
      <c r="A236" s="120">
        <f t="shared" si="11"/>
        <v>234</v>
      </c>
      <c r="B236" s="1">
        <f>PMT(CFs!$B$7/12,CFs!$B$8,CFs!$B$6)</f>
        <v>-3698.1734523520558</v>
      </c>
      <c r="C236" s="2">
        <f>-E235*CFs!$B$7/12</f>
        <v>-2107.7789327947594</v>
      </c>
      <c r="D236" s="1">
        <f t="shared" si="9"/>
        <v>-1590.3945195572965</v>
      </c>
      <c r="E236" s="1">
        <f t="shared" si="10"/>
        <v>314576.4453996566</v>
      </c>
    </row>
    <row r="237" spans="1:5">
      <c r="A237" s="120">
        <f t="shared" si="11"/>
        <v>235</v>
      </c>
      <c r="B237" s="1">
        <f>PMT(CFs!$B$7/12,CFs!$B$8,CFs!$B$6)</f>
        <v>-3698.1734523520558</v>
      </c>
      <c r="C237" s="2">
        <f>-E236*CFs!$B$7/12</f>
        <v>-2097.1763026643771</v>
      </c>
      <c r="D237" s="1">
        <f t="shared" si="9"/>
        <v>-1600.9971496876788</v>
      </c>
      <c r="E237" s="1">
        <f t="shared" si="10"/>
        <v>312975.44824996893</v>
      </c>
    </row>
    <row r="238" spans="1:5">
      <c r="A238" s="120">
        <f t="shared" si="11"/>
        <v>236</v>
      </c>
      <c r="B238" s="1">
        <f>PMT(CFs!$B$7/12,CFs!$B$8,CFs!$B$6)</f>
        <v>-3698.1734523520558</v>
      </c>
      <c r="C238" s="2">
        <f>-E237*CFs!$B$7/12</f>
        <v>-2086.5029883331263</v>
      </c>
      <c r="D238" s="1">
        <f t="shared" si="9"/>
        <v>-1611.6704640189296</v>
      </c>
      <c r="E238" s="1">
        <f t="shared" si="10"/>
        <v>311363.77778594999</v>
      </c>
    </row>
    <row r="239" spans="1:5">
      <c r="A239" s="120">
        <f t="shared" si="11"/>
        <v>237</v>
      </c>
      <c r="B239" s="1">
        <f>PMT(CFs!$B$7/12,CFs!$B$8,CFs!$B$6)</f>
        <v>-3698.1734523520558</v>
      </c>
      <c r="C239" s="2">
        <f>-E238*CFs!$B$7/12</f>
        <v>-2075.7585185729999</v>
      </c>
      <c r="D239" s="1">
        <f t="shared" si="9"/>
        <v>-1622.4149337790559</v>
      </c>
      <c r="E239" s="1">
        <f t="shared" si="10"/>
        <v>309741.36285217095</v>
      </c>
    </row>
    <row r="240" spans="1:5">
      <c r="A240" s="120">
        <f t="shared" si="11"/>
        <v>238</v>
      </c>
      <c r="B240" s="1">
        <f>PMT(CFs!$B$7/12,CFs!$B$8,CFs!$B$6)</f>
        <v>-3698.1734523520558</v>
      </c>
      <c r="C240" s="2">
        <f>-E239*CFs!$B$7/12</f>
        <v>-2064.9424190144732</v>
      </c>
      <c r="D240" s="1">
        <f t="shared" si="9"/>
        <v>-1633.2310333375826</v>
      </c>
      <c r="E240" s="1">
        <f t="shared" si="10"/>
        <v>308108.13181883335</v>
      </c>
    </row>
    <row r="241" spans="1:5">
      <c r="A241" s="120">
        <f t="shared" si="11"/>
        <v>239</v>
      </c>
      <c r="B241" s="1">
        <f>PMT(CFs!$B$7/12,CFs!$B$8,CFs!$B$6)</f>
        <v>-3698.1734523520558</v>
      </c>
      <c r="C241" s="2">
        <f>-E240*CFs!$B$7/12</f>
        <v>-2054.0542121255558</v>
      </c>
      <c r="D241" s="1">
        <f t="shared" si="9"/>
        <v>-1644.1192402265001</v>
      </c>
      <c r="E241" s="1">
        <f t="shared" si="10"/>
        <v>306464.01257860684</v>
      </c>
    </row>
    <row r="242" spans="1:5">
      <c r="A242" s="120">
        <f t="shared" si="11"/>
        <v>240</v>
      </c>
      <c r="B242" s="1">
        <f>PMT(CFs!$B$7/12,CFs!$B$8,CFs!$B$6)</f>
        <v>-3698.1734523520558</v>
      </c>
      <c r="C242" s="2">
        <f>-E241*CFs!$B$7/12</f>
        <v>-2043.0934171907122</v>
      </c>
      <c r="D242" s="1">
        <f t="shared" si="9"/>
        <v>-1655.0800351613436</v>
      </c>
      <c r="E242" s="1">
        <f t="shared" si="10"/>
        <v>304808.93254344549</v>
      </c>
    </row>
    <row r="243" spans="1:5">
      <c r="A243" s="120">
        <f t="shared" si="11"/>
        <v>241</v>
      </c>
      <c r="B243" s="1">
        <f>PMT(CFs!$B$7/12,CFs!$B$8,CFs!$B$6)</f>
        <v>-3698.1734523520558</v>
      </c>
      <c r="C243" s="2">
        <f>-E242*CFs!$B$7/12</f>
        <v>-2032.0595502896367</v>
      </c>
      <c r="D243" s="1">
        <f t="shared" si="9"/>
        <v>-1666.1139020624191</v>
      </c>
      <c r="E243" s="1">
        <f t="shared" si="10"/>
        <v>303142.81864138308</v>
      </c>
    </row>
    <row r="244" spans="1:5">
      <c r="A244" s="120">
        <f t="shared" si="11"/>
        <v>242</v>
      </c>
      <c r="B244" s="1">
        <f>PMT(CFs!$B$7/12,CFs!$B$8,CFs!$B$6)</f>
        <v>-3698.1734523520558</v>
      </c>
      <c r="C244" s="2">
        <f>-E243*CFs!$B$7/12</f>
        <v>-2020.9521242758874</v>
      </c>
      <c r="D244" s="1">
        <f t="shared" si="9"/>
        <v>-1677.2213280761684</v>
      </c>
      <c r="E244" s="1">
        <f t="shared" si="10"/>
        <v>301465.59731330693</v>
      </c>
    </row>
    <row r="245" spans="1:5">
      <c r="A245" s="120">
        <f t="shared" si="11"/>
        <v>243</v>
      </c>
      <c r="B245" s="1">
        <f>PMT(CFs!$B$7/12,CFs!$B$8,CFs!$B$6)</f>
        <v>-3698.1734523520558</v>
      </c>
      <c r="C245" s="2">
        <f>-E244*CFs!$B$7/12</f>
        <v>-2009.7706487553796</v>
      </c>
      <c r="D245" s="1">
        <f t="shared" ref="D245:D308" si="12">B245-C245</f>
        <v>-1688.4028035966762</v>
      </c>
      <c r="E245" s="1">
        <f t="shared" ref="E245:E308" si="13">E244+D245</f>
        <v>299777.19450971024</v>
      </c>
    </row>
    <row r="246" spans="1:5">
      <c r="A246" s="120">
        <f t="shared" si="11"/>
        <v>244</v>
      </c>
      <c r="B246" s="1">
        <f>PMT(CFs!$B$7/12,CFs!$B$8,CFs!$B$6)</f>
        <v>-3698.1734523520558</v>
      </c>
      <c r="C246" s="2">
        <f>-E245*CFs!$B$7/12</f>
        <v>-1998.514630064735</v>
      </c>
      <c r="D246" s="1">
        <f t="shared" si="12"/>
        <v>-1699.6588222873208</v>
      </c>
      <c r="E246" s="1">
        <f t="shared" si="13"/>
        <v>298077.5356874229</v>
      </c>
    </row>
    <row r="247" spans="1:5">
      <c r="A247" s="120">
        <f t="shared" si="11"/>
        <v>245</v>
      </c>
      <c r="B247" s="1">
        <f>PMT(CFs!$B$7/12,CFs!$B$8,CFs!$B$6)</f>
        <v>-3698.1734523520558</v>
      </c>
      <c r="C247" s="2">
        <f>-E246*CFs!$B$7/12</f>
        <v>-1987.183571249486</v>
      </c>
      <c r="D247" s="1">
        <f t="shared" si="12"/>
        <v>-1710.9898811025698</v>
      </c>
      <c r="E247" s="1">
        <f t="shared" si="13"/>
        <v>296366.54580632033</v>
      </c>
    </row>
    <row r="248" spans="1:5">
      <c r="A248" s="120">
        <f t="shared" si="11"/>
        <v>246</v>
      </c>
      <c r="B248" s="1">
        <f>PMT(CFs!$B$7/12,CFs!$B$8,CFs!$B$6)</f>
        <v>-3698.1734523520558</v>
      </c>
      <c r="C248" s="2">
        <f>-E247*CFs!$B$7/12</f>
        <v>-1975.7769720421356</v>
      </c>
      <c r="D248" s="1">
        <f t="shared" si="12"/>
        <v>-1722.3964803099202</v>
      </c>
      <c r="E248" s="1">
        <f t="shared" si="13"/>
        <v>294644.14932601043</v>
      </c>
    </row>
    <row r="249" spans="1:5">
      <c r="A249" s="120">
        <f t="shared" si="11"/>
        <v>247</v>
      </c>
      <c r="B249" s="1">
        <f>PMT(CFs!$B$7/12,CFs!$B$8,CFs!$B$6)</f>
        <v>-3698.1734523520558</v>
      </c>
      <c r="C249" s="2">
        <f>-E248*CFs!$B$7/12</f>
        <v>-1964.2943288400695</v>
      </c>
      <c r="D249" s="1">
        <f t="shared" si="12"/>
        <v>-1733.8791235119863</v>
      </c>
      <c r="E249" s="1">
        <f t="shared" si="13"/>
        <v>292910.27020249842</v>
      </c>
    </row>
    <row r="250" spans="1:5">
      <c r="A250" s="120">
        <f t="shared" si="11"/>
        <v>248</v>
      </c>
      <c r="B250" s="1">
        <f>PMT(CFs!$B$7/12,CFs!$B$8,CFs!$B$6)</f>
        <v>-3698.1734523520558</v>
      </c>
      <c r="C250" s="2">
        <f>-E249*CFs!$B$7/12</f>
        <v>-1952.7351346833229</v>
      </c>
      <c r="D250" s="1">
        <f t="shared" si="12"/>
        <v>-1745.4383176687329</v>
      </c>
      <c r="E250" s="1">
        <f t="shared" si="13"/>
        <v>291164.83188482968</v>
      </c>
    </row>
    <row r="251" spans="1:5">
      <c r="A251" s="120">
        <f t="shared" si="11"/>
        <v>249</v>
      </c>
      <c r="B251" s="1">
        <f>PMT(CFs!$B$7/12,CFs!$B$8,CFs!$B$6)</f>
        <v>-3698.1734523520558</v>
      </c>
      <c r="C251" s="2">
        <f>-E250*CFs!$B$7/12</f>
        <v>-1941.0988792321978</v>
      </c>
      <c r="D251" s="1">
        <f t="shared" si="12"/>
        <v>-1757.0745731198581</v>
      </c>
      <c r="E251" s="1">
        <f t="shared" si="13"/>
        <v>289407.75731170981</v>
      </c>
    </row>
    <row r="252" spans="1:5">
      <c r="A252" s="120">
        <f t="shared" si="11"/>
        <v>250</v>
      </c>
      <c r="B252" s="1">
        <f>PMT(CFs!$B$7/12,CFs!$B$8,CFs!$B$6)</f>
        <v>-3698.1734523520558</v>
      </c>
      <c r="C252" s="2">
        <f>-E251*CFs!$B$7/12</f>
        <v>-1929.3850487447319</v>
      </c>
      <c r="D252" s="1">
        <f t="shared" si="12"/>
        <v>-1768.788403607324</v>
      </c>
      <c r="E252" s="1">
        <f t="shared" si="13"/>
        <v>287638.96890810248</v>
      </c>
    </row>
    <row r="253" spans="1:5">
      <c r="A253" s="120">
        <f t="shared" si="11"/>
        <v>251</v>
      </c>
      <c r="B253" s="1">
        <f>PMT(CFs!$B$7/12,CFs!$B$8,CFs!$B$6)</f>
        <v>-3698.1734523520558</v>
      </c>
      <c r="C253" s="2">
        <f>-E252*CFs!$B$7/12</f>
        <v>-1917.5931260540165</v>
      </c>
      <c r="D253" s="1">
        <f t="shared" si="12"/>
        <v>-1780.5803262980394</v>
      </c>
      <c r="E253" s="1">
        <f t="shared" si="13"/>
        <v>285858.38858180447</v>
      </c>
    </row>
    <row r="254" spans="1:5">
      <c r="A254" s="120">
        <f t="shared" si="11"/>
        <v>252</v>
      </c>
      <c r="B254" s="1">
        <f>PMT(CFs!$B$7/12,CFs!$B$8,CFs!$B$6)</f>
        <v>-3698.1734523520558</v>
      </c>
      <c r="C254" s="2">
        <f>-E253*CFs!$B$7/12</f>
        <v>-1905.7225905453631</v>
      </c>
      <c r="D254" s="1">
        <f t="shared" si="12"/>
        <v>-1792.4508618066927</v>
      </c>
      <c r="E254" s="1">
        <f t="shared" si="13"/>
        <v>284065.93771999778</v>
      </c>
    </row>
    <row r="255" spans="1:5">
      <c r="A255" s="120">
        <f t="shared" si="11"/>
        <v>253</v>
      </c>
      <c r="B255" s="1">
        <f>PMT(CFs!$B$7/12,CFs!$B$8,CFs!$B$6)</f>
        <v>-3698.1734523520558</v>
      </c>
      <c r="C255" s="2">
        <f>-E254*CFs!$B$7/12</f>
        <v>-1893.7729181333186</v>
      </c>
      <c r="D255" s="1">
        <f t="shared" si="12"/>
        <v>-1804.4005342187372</v>
      </c>
      <c r="E255" s="1">
        <f t="shared" si="13"/>
        <v>282261.53718577902</v>
      </c>
    </row>
    <row r="256" spans="1:5">
      <c r="A256" s="120">
        <f t="shared" si="11"/>
        <v>254</v>
      </c>
      <c r="B256" s="1">
        <f>PMT(CFs!$B$7/12,CFs!$B$8,CFs!$B$6)</f>
        <v>-3698.1734523520558</v>
      </c>
      <c r="C256" s="2">
        <f>-E255*CFs!$B$7/12</f>
        <v>-1881.7435812385268</v>
      </c>
      <c r="D256" s="1">
        <f t="shared" si="12"/>
        <v>-1816.4298711135291</v>
      </c>
      <c r="E256" s="1">
        <f t="shared" si="13"/>
        <v>280445.10731466551</v>
      </c>
    </row>
    <row r="257" spans="1:5">
      <c r="A257" s="120">
        <f t="shared" si="11"/>
        <v>255</v>
      </c>
      <c r="B257" s="1">
        <f>PMT(CFs!$B$7/12,CFs!$B$8,CFs!$B$6)</f>
        <v>-3698.1734523520558</v>
      </c>
      <c r="C257" s="2">
        <f>-E256*CFs!$B$7/12</f>
        <v>-1869.6340487644368</v>
      </c>
      <c r="D257" s="1">
        <f t="shared" si="12"/>
        <v>-1828.5394035876191</v>
      </c>
      <c r="E257" s="1">
        <f t="shared" si="13"/>
        <v>278616.56791107787</v>
      </c>
    </row>
    <row r="258" spans="1:5">
      <c r="A258" s="120">
        <f t="shared" si="11"/>
        <v>256</v>
      </c>
      <c r="B258" s="1">
        <f>PMT(CFs!$B$7/12,CFs!$B$8,CFs!$B$6)</f>
        <v>-3698.1734523520558</v>
      </c>
      <c r="C258" s="2">
        <f>-E257*CFs!$B$7/12</f>
        <v>-1857.4437860738526</v>
      </c>
      <c r="D258" s="1">
        <f t="shared" si="12"/>
        <v>-1840.7296662782032</v>
      </c>
      <c r="E258" s="1">
        <f t="shared" si="13"/>
        <v>276775.83824479964</v>
      </c>
    </row>
    <row r="259" spans="1:5">
      <c r="A259" s="120">
        <f t="shared" si="11"/>
        <v>257</v>
      </c>
      <c r="B259" s="1">
        <f>PMT(CFs!$B$7/12,CFs!$B$8,CFs!$B$6)</f>
        <v>-3698.1734523520558</v>
      </c>
      <c r="C259" s="2">
        <f>-E258*CFs!$B$7/12</f>
        <v>-1845.1722549653311</v>
      </c>
      <c r="D259" s="1">
        <f t="shared" si="12"/>
        <v>-1853.0011973867247</v>
      </c>
      <c r="E259" s="1">
        <f t="shared" si="13"/>
        <v>274922.83704741293</v>
      </c>
    </row>
    <row r="260" spans="1:5">
      <c r="A260" s="120">
        <f t="shared" si="11"/>
        <v>258</v>
      </c>
      <c r="B260" s="1">
        <f>PMT(CFs!$B$7/12,CFs!$B$8,CFs!$B$6)</f>
        <v>-3698.1734523520558</v>
      </c>
      <c r="C260" s="2">
        <f>-E259*CFs!$B$7/12</f>
        <v>-1832.8189136494195</v>
      </c>
      <c r="D260" s="1">
        <f t="shared" si="12"/>
        <v>-1865.3545387026363</v>
      </c>
      <c r="E260" s="1">
        <f t="shared" si="13"/>
        <v>273057.48250871029</v>
      </c>
    </row>
    <row r="261" spans="1:5">
      <c r="A261" s="120">
        <f t="shared" ref="A261:A324" si="14">A260+1</f>
        <v>259</v>
      </c>
      <c r="B261" s="1">
        <f>PMT(CFs!$B$7/12,CFs!$B$8,CFs!$B$6)</f>
        <v>-3698.1734523520558</v>
      </c>
      <c r="C261" s="2">
        <f>-E260*CFs!$B$7/12</f>
        <v>-1820.3832167247353</v>
      </c>
      <c r="D261" s="1">
        <f t="shared" si="12"/>
        <v>-1877.7902356273205</v>
      </c>
      <c r="E261" s="1">
        <f t="shared" si="13"/>
        <v>271179.69227308297</v>
      </c>
    </row>
    <row r="262" spans="1:5">
      <c r="A262" s="120">
        <f t="shared" si="14"/>
        <v>260</v>
      </c>
      <c r="B262" s="1">
        <f>PMT(CFs!$B$7/12,CFs!$B$8,CFs!$B$6)</f>
        <v>-3698.1734523520558</v>
      </c>
      <c r="C262" s="2">
        <f>-E261*CFs!$B$7/12</f>
        <v>-1807.8646151538867</v>
      </c>
      <c r="D262" s="1">
        <f t="shared" si="12"/>
        <v>-1890.3088371981692</v>
      </c>
      <c r="E262" s="1">
        <f t="shared" si="13"/>
        <v>269289.38343588478</v>
      </c>
    </row>
    <row r="263" spans="1:5">
      <c r="A263" s="120">
        <f t="shared" si="14"/>
        <v>261</v>
      </c>
      <c r="B263" s="1">
        <f>PMT(CFs!$B$7/12,CFs!$B$8,CFs!$B$6)</f>
        <v>-3698.1734523520558</v>
      </c>
      <c r="C263" s="2">
        <f>-E262*CFs!$B$7/12</f>
        <v>-1795.262556239232</v>
      </c>
      <c r="D263" s="1">
        <f t="shared" si="12"/>
        <v>-1902.9108961128238</v>
      </c>
      <c r="E263" s="1">
        <f t="shared" si="13"/>
        <v>267386.47253977193</v>
      </c>
    </row>
    <row r="264" spans="1:5">
      <c r="A264" s="120">
        <f t="shared" si="14"/>
        <v>262</v>
      </c>
      <c r="B264" s="1">
        <f>PMT(CFs!$B$7/12,CFs!$B$8,CFs!$B$6)</f>
        <v>-3698.1734523520558</v>
      </c>
      <c r="C264" s="2">
        <f>-E263*CFs!$B$7/12</f>
        <v>-1782.5764835984794</v>
      </c>
      <c r="D264" s="1">
        <f t="shared" si="12"/>
        <v>-1915.5969687535764</v>
      </c>
      <c r="E264" s="1">
        <f t="shared" si="13"/>
        <v>265470.87557101838</v>
      </c>
    </row>
    <row r="265" spans="1:5">
      <c r="A265" s="120">
        <f t="shared" si="14"/>
        <v>263</v>
      </c>
      <c r="B265" s="1">
        <f>PMT(CFs!$B$7/12,CFs!$B$8,CFs!$B$6)</f>
        <v>-3698.1734523520558</v>
      </c>
      <c r="C265" s="2">
        <f>-E264*CFs!$B$7/12</f>
        <v>-1769.8058371401223</v>
      </c>
      <c r="D265" s="1">
        <f t="shared" si="12"/>
        <v>-1928.3676152119335</v>
      </c>
      <c r="E265" s="1">
        <f t="shared" si="13"/>
        <v>263542.50795580645</v>
      </c>
    </row>
    <row r="266" spans="1:5">
      <c r="A266" s="120">
        <f t="shared" si="14"/>
        <v>264</v>
      </c>
      <c r="B266" s="1">
        <f>PMT(CFs!$B$7/12,CFs!$B$8,CFs!$B$6)</f>
        <v>-3698.1734523520558</v>
      </c>
      <c r="C266" s="2">
        <f>-E265*CFs!$B$7/12</f>
        <v>-1756.9500530387097</v>
      </c>
      <c r="D266" s="1">
        <f t="shared" si="12"/>
        <v>-1941.2233993133461</v>
      </c>
      <c r="E266" s="1">
        <f t="shared" si="13"/>
        <v>261601.2845564931</v>
      </c>
    </row>
    <row r="267" spans="1:5">
      <c r="A267" s="120">
        <f t="shared" si="14"/>
        <v>265</v>
      </c>
      <c r="B267" s="1">
        <f>PMT(CFs!$B$7/12,CFs!$B$8,CFs!$B$6)</f>
        <v>-3698.1734523520558</v>
      </c>
      <c r="C267" s="2">
        <f>-E266*CFs!$B$7/12</f>
        <v>-1744.0085637099539</v>
      </c>
      <c r="D267" s="1">
        <f t="shared" si="12"/>
        <v>-1954.1648886421019</v>
      </c>
      <c r="E267" s="1">
        <f t="shared" si="13"/>
        <v>259647.11966785102</v>
      </c>
    </row>
    <row r="268" spans="1:5">
      <c r="A268" s="120">
        <f t="shared" si="14"/>
        <v>266</v>
      </c>
      <c r="B268" s="1">
        <f>PMT(CFs!$B$7/12,CFs!$B$8,CFs!$B$6)</f>
        <v>-3698.1734523520558</v>
      </c>
      <c r="C268" s="2">
        <f>-E267*CFs!$B$7/12</f>
        <v>-1730.9807977856735</v>
      </c>
      <c r="D268" s="1">
        <f t="shared" si="12"/>
        <v>-1967.1926545663823</v>
      </c>
      <c r="E268" s="1">
        <f t="shared" si="13"/>
        <v>257679.92701328464</v>
      </c>
    </row>
    <row r="269" spans="1:5">
      <c r="A269" s="120">
        <f t="shared" si="14"/>
        <v>267</v>
      </c>
      <c r="B269" s="1">
        <f>PMT(CFs!$B$7/12,CFs!$B$8,CFs!$B$6)</f>
        <v>-3698.1734523520558</v>
      </c>
      <c r="C269" s="2">
        <f>-E268*CFs!$B$7/12</f>
        <v>-1717.8661800885645</v>
      </c>
      <c r="D269" s="1">
        <f t="shared" si="12"/>
        <v>-1980.3072722634913</v>
      </c>
      <c r="E269" s="1">
        <f t="shared" si="13"/>
        <v>255699.61974102116</v>
      </c>
    </row>
    <row r="270" spans="1:5">
      <c r="A270" s="120">
        <f t="shared" si="14"/>
        <v>268</v>
      </c>
      <c r="B270" s="1">
        <f>PMT(CFs!$B$7/12,CFs!$B$8,CFs!$B$6)</f>
        <v>-3698.1734523520558</v>
      </c>
      <c r="C270" s="2">
        <f>-E269*CFs!$B$7/12</f>
        <v>-1704.6641316068078</v>
      </c>
      <c r="D270" s="1">
        <f t="shared" si="12"/>
        <v>-1993.509320745248</v>
      </c>
      <c r="E270" s="1">
        <f t="shared" si="13"/>
        <v>253706.11042027592</v>
      </c>
    </row>
    <row r="271" spans="1:5">
      <c r="A271" s="120">
        <f t="shared" si="14"/>
        <v>269</v>
      </c>
      <c r="B271" s="1">
        <f>PMT(CFs!$B$7/12,CFs!$B$8,CFs!$B$6)</f>
        <v>-3698.1734523520558</v>
      </c>
      <c r="C271" s="2">
        <f>-E270*CFs!$B$7/12</f>
        <v>-1691.3740694685059</v>
      </c>
      <c r="D271" s="1">
        <f t="shared" si="12"/>
        <v>-2006.7993828835499</v>
      </c>
      <c r="E271" s="1">
        <f t="shared" si="13"/>
        <v>251699.31103739236</v>
      </c>
    </row>
    <row r="272" spans="1:5">
      <c r="A272" s="120">
        <f t="shared" si="14"/>
        <v>270</v>
      </c>
      <c r="B272" s="1">
        <f>PMT(CFs!$B$7/12,CFs!$B$8,CFs!$B$6)</f>
        <v>-3698.1734523520558</v>
      </c>
      <c r="C272" s="2">
        <f>-E271*CFs!$B$7/12</f>
        <v>-1677.9954069159492</v>
      </c>
      <c r="D272" s="1">
        <f t="shared" si="12"/>
        <v>-2020.1780454361067</v>
      </c>
      <c r="E272" s="1">
        <f t="shared" si="13"/>
        <v>249679.13299195626</v>
      </c>
    </row>
    <row r="273" spans="1:5">
      <c r="A273" s="120">
        <f t="shared" si="14"/>
        <v>271</v>
      </c>
      <c r="B273" s="1">
        <f>PMT(CFs!$B$7/12,CFs!$B$8,CFs!$B$6)</f>
        <v>-3698.1734523520558</v>
      </c>
      <c r="C273" s="2">
        <f>-E272*CFs!$B$7/12</f>
        <v>-1664.5275532797084</v>
      </c>
      <c r="D273" s="1">
        <f t="shared" si="12"/>
        <v>-2033.6458990723474</v>
      </c>
      <c r="E273" s="1">
        <f t="shared" si="13"/>
        <v>247645.48709288391</v>
      </c>
    </row>
    <row r="274" spans="1:5">
      <c r="A274" s="120">
        <f t="shared" si="14"/>
        <v>272</v>
      </c>
      <c r="B274" s="1">
        <f>PMT(CFs!$B$7/12,CFs!$B$8,CFs!$B$6)</f>
        <v>-3698.1734523520558</v>
      </c>
      <c r="C274" s="2">
        <f>-E273*CFs!$B$7/12</f>
        <v>-1650.9699139525594</v>
      </c>
      <c r="D274" s="1">
        <f t="shared" si="12"/>
        <v>-2047.2035383994964</v>
      </c>
      <c r="E274" s="1">
        <f t="shared" si="13"/>
        <v>245598.2835544844</v>
      </c>
    </row>
    <row r="275" spans="1:5">
      <c r="A275" s="120">
        <f t="shared" si="14"/>
        <v>273</v>
      </c>
      <c r="B275" s="1">
        <f>PMT(CFs!$B$7/12,CFs!$B$8,CFs!$B$6)</f>
        <v>-3698.1734523520558</v>
      </c>
      <c r="C275" s="2">
        <f>-E274*CFs!$B$7/12</f>
        <v>-1637.3218903632294</v>
      </c>
      <c r="D275" s="1">
        <f t="shared" si="12"/>
        <v>-2060.8515619888267</v>
      </c>
      <c r="E275" s="1">
        <f t="shared" si="13"/>
        <v>243537.43199249558</v>
      </c>
    </row>
    <row r="276" spans="1:5">
      <c r="A276" s="120">
        <f t="shared" si="14"/>
        <v>274</v>
      </c>
      <c r="B276" s="1">
        <f>PMT(CFs!$B$7/12,CFs!$B$8,CFs!$B$6)</f>
        <v>-3698.1734523520558</v>
      </c>
      <c r="C276" s="2">
        <f>-E275*CFs!$B$7/12</f>
        <v>-1623.5828799499704</v>
      </c>
      <c r="D276" s="1">
        <f t="shared" si="12"/>
        <v>-2074.5905724020854</v>
      </c>
      <c r="E276" s="1">
        <f t="shared" si="13"/>
        <v>241462.84142009349</v>
      </c>
    </row>
    <row r="277" spans="1:5">
      <c r="A277" s="120">
        <f t="shared" si="14"/>
        <v>275</v>
      </c>
      <c r="B277" s="1">
        <f>PMT(CFs!$B$7/12,CFs!$B$8,CFs!$B$6)</f>
        <v>-3698.1734523520558</v>
      </c>
      <c r="C277" s="2">
        <f>-E276*CFs!$B$7/12</f>
        <v>-1609.7522761339567</v>
      </c>
      <c r="D277" s="1">
        <f t="shared" si="12"/>
        <v>-2088.4211762180994</v>
      </c>
      <c r="E277" s="1">
        <f t="shared" si="13"/>
        <v>239374.42024387539</v>
      </c>
    </row>
    <row r="278" spans="1:5">
      <c r="A278" s="120">
        <f t="shared" si="14"/>
        <v>276</v>
      </c>
      <c r="B278" s="1">
        <f>PMT(CFs!$B$7/12,CFs!$B$8,CFs!$B$6)</f>
        <v>-3698.1734523520558</v>
      </c>
      <c r="C278" s="2">
        <f>-E277*CFs!$B$7/12</f>
        <v>-1595.8294682925025</v>
      </c>
      <c r="D278" s="1">
        <f t="shared" si="12"/>
        <v>-2102.3439840595533</v>
      </c>
      <c r="E278" s="1">
        <f t="shared" si="13"/>
        <v>237272.07625981583</v>
      </c>
    </row>
    <row r="279" spans="1:5">
      <c r="A279" s="120">
        <f t="shared" si="14"/>
        <v>277</v>
      </c>
      <c r="B279" s="1">
        <f>PMT(CFs!$B$7/12,CFs!$B$8,CFs!$B$6)</f>
        <v>-3698.1734523520558</v>
      </c>
      <c r="C279" s="2">
        <f>-E278*CFs!$B$7/12</f>
        <v>-1581.8138417321054</v>
      </c>
      <c r="D279" s="1">
        <f t="shared" si="12"/>
        <v>-2116.3596106199502</v>
      </c>
      <c r="E279" s="1">
        <f t="shared" si="13"/>
        <v>235155.71664919588</v>
      </c>
    </row>
    <row r="280" spans="1:5">
      <c r="A280" s="120">
        <f t="shared" si="14"/>
        <v>278</v>
      </c>
      <c r="B280" s="1">
        <f>PMT(CFs!$B$7/12,CFs!$B$8,CFs!$B$6)</f>
        <v>-3698.1734523520558</v>
      </c>
      <c r="C280" s="2">
        <f>-E279*CFs!$B$7/12</f>
        <v>-1567.704777661306</v>
      </c>
      <c r="D280" s="1">
        <f t="shared" si="12"/>
        <v>-2130.46867469075</v>
      </c>
      <c r="E280" s="1">
        <f t="shared" si="13"/>
        <v>233025.24797450512</v>
      </c>
    </row>
    <row r="281" spans="1:5">
      <c r="A281" s="120">
        <f t="shared" si="14"/>
        <v>279</v>
      </c>
      <c r="B281" s="1">
        <f>PMT(CFs!$B$7/12,CFs!$B$8,CFs!$B$6)</f>
        <v>-3698.1734523520558</v>
      </c>
      <c r="C281" s="2">
        <f>-E280*CFs!$B$7/12</f>
        <v>-1553.5016531633676</v>
      </c>
      <c r="D281" s="1">
        <f t="shared" si="12"/>
        <v>-2144.6717991886881</v>
      </c>
      <c r="E281" s="1">
        <f t="shared" si="13"/>
        <v>230880.57617531644</v>
      </c>
    </row>
    <row r="282" spans="1:5">
      <c r="A282" s="120">
        <f t="shared" si="14"/>
        <v>280</v>
      </c>
      <c r="B282" s="1">
        <f>PMT(CFs!$B$7/12,CFs!$B$8,CFs!$B$6)</f>
        <v>-3698.1734523520558</v>
      </c>
      <c r="C282" s="2">
        <f>-E281*CFs!$B$7/12</f>
        <v>-1539.2038411687763</v>
      </c>
      <c r="D282" s="1">
        <f t="shared" si="12"/>
        <v>-2158.9696111832795</v>
      </c>
      <c r="E282" s="1">
        <f t="shared" si="13"/>
        <v>228721.60656413317</v>
      </c>
    </row>
    <row r="283" spans="1:5">
      <c r="A283" s="120">
        <f t="shared" si="14"/>
        <v>281</v>
      </c>
      <c r="B283" s="1">
        <f>PMT(CFs!$B$7/12,CFs!$B$8,CFs!$B$6)</f>
        <v>-3698.1734523520558</v>
      </c>
      <c r="C283" s="2">
        <f>-E282*CFs!$B$7/12</f>
        <v>-1524.8107104275543</v>
      </c>
      <c r="D283" s="1">
        <f t="shared" si="12"/>
        <v>-2173.3627419245013</v>
      </c>
      <c r="E283" s="1">
        <f t="shared" si="13"/>
        <v>226548.24382220866</v>
      </c>
    </row>
    <row r="284" spans="1:5">
      <c r="A284" s="120">
        <f t="shared" si="14"/>
        <v>282</v>
      </c>
      <c r="B284" s="1">
        <f>PMT(CFs!$B$7/12,CFs!$B$8,CFs!$B$6)</f>
        <v>-3698.1734523520558</v>
      </c>
      <c r="C284" s="2">
        <f>-E283*CFs!$B$7/12</f>
        <v>-1510.3216254813913</v>
      </c>
      <c r="D284" s="1">
        <f t="shared" si="12"/>
        <v>-2187.8518268706648</v>
      </c>
      <c r="E284" s="1">
        <f t="shared" si="13"/>
        <v>224360.391995338</v>
      </c>
    </row>
    <row r="285" spans="1:5">
      <c r="A285" s="120">
        <f t="shared" si="14"/>
        <v>283</v>
      </c>
      <c r="B285" s="1">
        <f>PMT(CFs!$B$7/12,CFs!$B$8,CFs!$B$6)</f>
        <v>-3698.1734523520558</v>
      </c>
      <c r="C285" s="2">
        <f>-E284*CFs!$B$7/12</f>
        <v>-1495.7359466355867</v>
      </c>
      <c r="D285" s="1">
        <f t="shared" si="12"/>
        <v>-2202.4375057164689</v>
      </c>
      <c r="E285" s="1">
        <f t="shared" si="13"/>
        <v>222157.95448962154</v>
      </c>
    </row>
    <row r="286" spans="1:5">
      <c r="A286" s="120">
        <f t="shared" si="14"/>
        <v>284</v>
      </c>
      <c r="B286" s="1">
        <f>PMT(CFs!$B$7/12,CFs!$B$8,CFs!$B$6)</f>
        <v>-3698.1734523520558</v>
      </c>
      <c r="C286" s="2">
        <f>-E285*CFs!$B$7/12</f>
        <v>-1481.0530299308102</v>
      </c>
      <c r="D286" s="1">
        <f t="shared" si="12"/>
        <v>-2217.1204224212456</v>
      </c>
      <c r="E286" s="1">
        <f t="shared" si="13"/>
        <v>219940.83406720028</v>
      </c>
    </row>
    <row r="287" spans="1:5">
      <c r="A287" s="120">
        <f t="shared" si="14"/>
        <v>285</v>
      </c>
      <c r="B287" s="1">
        <f>PMT(CFs!$B$7/12,CFs!$B$8,CFs!$B$6)</f>
        <v>-3698.1734523520558</v>
      </c>
      <c r="C287" s="2">
        <f>-E286*CFs!$B$7/12</f>
        <v>-1466.2722271146686</v>
      </c>
      <c r="D287" s="1">
        <f t="shared" si="12"/>
        <v>-2231.9012252373873</v>
      </c>
      <c r="E287" s="1">
        <f t="shared" si="13"/>
        <v>217708.9328419629</v>
      </c>
    </row>
    <row r="288" spans="1:5">
      <c r="A288" s="120">
        <f t="shared" si="14"/>
        <v>286</v>
      </c>
      <c r="B288" s="1">
        <f>PMT(CFs!$B$7/12,CFs!$B$8,CFs!$B$6)</f>
        <v>-3698.1734523520558</v>
      </c>
      <c r="C288" s="2">
        <f>-E287*CFs!$B$7/12</f>
        <v>-1451.392885613086</v>
      </c>
      <c r="D288" s="1">
        <f t="shared" si="12"/>
        <v>-2246.7805667389698</v>
      </c>
      <c r="E288" s="1">
        <f t="shared" si="13"/>
        <v>215462.15227522393</v>
      </c>
    </row>
    <row r="289" spans="1:5">
      <c r="A289" s="120">
        <f t="shared" si="14"/>
        <v>287</v>
      </c>
      <c r="B289" s="1">
        <f>PMT(CFs!$B$7/12,CFs!$B$8,CFs!$B$6)</f>
        <v>-3698.1734523520558</v>
      </c>
      <c r="C289" s="2">
        <f>-E288*CFs!$B$7/12</f>
        <v>-1436.4143485014929</v>
      </c>
      <c r="D289" s="1">
        <f t="shared" si="12"/>
        <v>-2261.759103850563</v>
      </c>
      <c r="E289" s="1">
        <f t="shared" si="13"/>
        <v>213200.39317137338</v>
      </c>
    </row>
    <row r="290" spans="1:5">
      <c r="A290" s="120">
        <f t="shared" si="14"/>
        <v>288</v>
      </c>
      <c r="B290" s="1">
        <f>PMT(CFs!$B$7/12,CFs!$B$8,CFs!$B$6)</f>
        <v>-3698.1734523520558</v>
      </c>
      <c r="C290" s="2">
        <f>-E289*CFs!$B$7/12</f>
        <v>-1421.3359544758225</v>
      </c>
      <c r="D290" s="1">
        <f t="shared" si="12"/>
        <v>-2276.8374978762331</v>
      </c>
      <c r="E290" s="1">
        <f t="shared" si="13"/>
        <v>210923.55567349715</v>
      </c>
    </row>
    <row r="291" spans="1:5">
      <c r="A291" s="120">
        <f t="shared" si="14"/>
        <v>289</v>
      </c>
      <c r="B291" s="1">
        <f>PMT(CFs!$B$7/12,CFs!$B$8,CFs!$B$6)</f>
        <v>-3698.1734523520558</v>
      </c>
      <c r="C291" s="2">
        <f>-E290*CFs!$B$7/12</f>
        <v>-1406.1570378233143</v>
      </c>
      <c r="D291" s="1">
        <f t="shared" si="12"/>
        <v>-2292.0164145287417</v>
      </c>
      <c r="E291" s="1">
        <f t="shared" si="13"/>
        <v>208631.53925896841</v>
      </c>
    </row>
    <row r="292" spans="1:5">
      <c r="A292" s="120">
        <f t="shared" si="14"/>
        <v>290</v>
      </c>
      <c r="B292" s="1">
        <f>PMT(CFs!$B$7/12,CFs!$B$8,CFs!$B$6)</f>
        <v>-3698.1734523520558</v>
      </c>
      <c r="C292" s="2">
        <f>-E291*CFs!$B$7/12</f>
        <v>-1390.8769283931226</v>
      </c>
      <c r="D292" s="1">
        <f t="shared" si="12"/>
        <v>-2307.296523958933</v>
      </c>
      <c r="E292" s="1">
        <f t="shared" si="13"/>
        <v>206324.24273500947</v>
      </c>
    </row>
    <row r="293" spans="1:5">
      <c r="A293" s="120">
        <f t="shared" si="14"/>
        <v>291</v>
      </c>
      <c r="B293" s="1">
        <f>PMT(CFs!$B$7/12,CFs!$B$8,CFs!$B$6)</f>
        <v>-3698.1734523520558</v>
      </c>
      <c r="C293" s="2">
        <f>-E292*CFs!$B$7/12</f>
        <v>-1375.4949515667297</v>
      </c>
      <c r="D293" s="1">
        <f t="shared" si="12"/>
        <v>-2322.6785007853259</v>
      </c>
      <c r="E293" s="1">
        <f t="shared" si="13"/>
        <v>204001.56423422415</v>
      </c>
    </row>
    <row r="294" spans="1:5">
      <c r="A294" s="120">
        <f t="shared" si="14"/>
        <v>292</v>
      </c>
      <c r="B294" s="1">
        <f>PMT(CFs!$B$7/12,CFs!$B$8,CFs!$B$6)</f>
        <v>-3698.1734523520558</v>
      </c>
      <c r="C294" s="2">
        <f>-E293*CFs!$B$7/12</f>
        <v>-1360.0104282281611</v>
      </c>
      <c r="D294" s="1">
        <f t="shared" si="12"/>
        <v>-2338.1630241238945</v>
      </c>
      <c r="E294" s="1">
        <f t="shared" si="13"/>
        <v>201663.40121010024</v>
      </c>
    </row>
    <row r="295" spans="1:5">
      <c r="A295" s="120">
        <f t="shared" si="14"/>
        <v>293</v>
      </c>
      <c r="B295" s="1">
        <f>PMT(CFs!$B$7/12,CFs!$B$8,CFs!$B$6)</f>
        <v>-3698.1734523520558</v>
      </c>
      <c r="C295" s="2">
        <f>-E294*CFs!$B$7/12</f>
        <v>-1344.4226747340017</v>
      </c>
      <c r="D295" s="1">
        <f t="shared" si="12"/>
        <v>-2353.7507776180541</v>
      </c>
      <c r="E295" s="1">
        <f t="shared" si="13"/>
        <v>199309.65043248219</v>
      </c>
    </row>
    <row r="296" spans="1:5">
      <c r="A296" s="120">
        <f t="shared" si="14"/>
        <v>294</v>
      </c>
      <c r="B296" s="1">
        <f>PMT(CFs!$B$7/12,CFs!$B$8,CFs!$B$6)</f>
        <v>-3698.1734523520558</v>
      </c>
      <c r="C296" s="2">
        <f>-E295*CFs!$B$7/12</f>
        <v>-1328.7310028832146</v>
      </c>
      <c r="D296" s="1">
        <f t="shared" si="12"/>
        <v>-2369.442449468841</v>
      </c>
      <c r="E296" s="1">
        <f t="shared" si="13"/>
        <v>196940.20798301336</v>
      </c>
    </row>
    <row r="297" spans="1:5">
      <c r="A297" s="120">
        <f t="shared" si="14"/>
        <v>295</v>
      </c>
      <c r="B297" s="1">
        <f>PMT(CFs!$B$7/12,CFs!$B$8,CFs!$B$6)</f>
        <v>-3698.1734523520558</v>
      </c>
      <c r="C297" s="2">
        <f>-E296*CFs!$B$7/12</f>
        <v>-1312.9347198867558</v>
      </c>
      <c r="D297" s="1">
        <f t="shared" si="12"/>
        <v>-2385.2387324653</v>
      </c>
      <c r="E297" s="1">
        <f t="shared" si="13"/>
        <v>194554.96925054805</v>
      </c>
    </row>
    <row r="298" spans="1:5">
      <c r="A298" s="120">
        <f t="shared" si="14"/>
        <v>296</v>
      </c>
      <c r="B298" s="1">
        <f>PMT(CFs!$B$7/12,CFs!$B$8,CFs!$B$6)</f>
        <v>-3698.1734523520558</v>
      </c>
      <c r="C298" s="2">
        <f>-E297*CFs!$B$7/12</f>
        <v>-1297.0331283369871</v>
      </c>
      <c r="D298" s="1">
        <f t="shared" si="12"/>
        <v>-2401.1403240150685</v>
      </c>
      <c r="E298" s="1">
        <f t="shared" si="13"/>
        <v>192153.82892653299</v>
      </c>
    </row>
    <row r="299" spans="1:5">
      <c r="A299" s="120">
        <f t="shared" si="14"/>
        <v>297</v>
      </c>
      <c r="B299" s="1">
        <f>PMT(CFs!$B$7/12,CFs!$B$8,CFs!$B$6)</f>
        <v>-3698.1734523520558</v>
      </c>
      <c r="C299" s="2">
        <f>-E298*CFs!$B$7/12</f>
        <v>-1281.0255261768866</v>
      </c>
      <c r="D299" s="1">
        <f t="shared" si="12"/>
        <v>-2417.1479261751692</v>
      </c>
      <c r="E299" s="1">
        <f t="shared" si="13"/>
        <v>189736.68100035781</v>
      </c>
    </row>
    <row r="300" spans="1:5">
      <c r="A300" s="120">
        <f t="shared" si="14"/>
        <v>298</v>
      </c>
      <c r="B300" s="1">
        <f>PMT(CFs!$B$7/12,CFs!$B$8,CFs!$B$6)</f>
        <v>-3698.1734523520558</v>
      </c>
      <c r="C300" s="2">
        <f>-E299*CFs!$B$7/12</f>
        <v>-1264.911206669052</v>
      </c>
      <c r="D300" s="1">
        <f t="shared" si="12"/>
        <v>-2433.262245683004</v>
      </c>
      <c r="E300" s="1">
        <f t="shared" si="13"/>
        <v>187303.41875467481</v>
      </c>
    </row>
    <row r="301" spans="1:5">
      <c r="A301" s="120">
        <f t="shared" si="14"/>
        <v>299</v>
      </c>
      <c r="B301" s="1">
        <f>PMT(CFs!$B$7/12,CFs!$B$8,CFs!$B$6)</f>
        <v>-3698.1734523520558</v>
      </c>
      <c r="C301" s="2">
        <f>-E300*CFs!$B$7/12</f>
        <v>-1248.6894583644987</v>
      </c>
      <c r="D301" s="1">
        <f t="shared" si="12"/>
        <v>-2449.4839939875574</v>
      </c>
      <c r="E301" s="1">
        <f t="shared" si="13"/>
        <v>184853.93476068726</v>
      </c>
    </row>
    <row r="302" spans="1:5">
      <c r="A302" s="120">
        <f t="shared" si="14"/>
        <v>300</v>
      </c>
      <c r="B302" s="1">
        <f>PMT(CFs!$B$7/12,CFs!$B$8,CFs!$B$6)</f>
        <v>-3698.1734523520558</v>
      </c>
      <c r="C302" s="2">
        <f>-E301*CFs!$B$7/12</f>
        <v>-1232.3595650712484</v>
      </c>
      <c r="D302" s="1">
        <f t="shared" si="12"/>
        <v>-2465.8138872808076</v>
      </c>
      <c r="E302" s="1">
        <f t="shared" si="13"/>
        <v>182388.12087340644</v>
      </c>
    </row>
    <row r="303" spans="1:5">
      <c r="A303" s="120">
        <f t="shared" si="14"/>
        <v>301</v>
      </c>
      <c r="B303" s="1">
        <f>PMT(CFs!$B$7/12,CFs!$B$8,CFs!$B$6)</f>
        <v>-3698.1734523520558</v>
      </c>
      <c r="C303" s="2">
        <f>-E302*CFs!$B$7/12</f>
        <v>-1215.9208058227098</v>
      </c>
      <c r="D303" s="1">
        <f t="shared" si="12"/>
        <v>-2482.2526465293458</v>
      </c>
      <c r="E303" s="1">
        <f t="shared" si="13"/>
        <v>179905.86822687709</v>
      </c>
    </row>
    <row r="304" spans="1:5">
      <c r="A304" s="120">
        <f t="shared" si="14"/>
        <v>302</v>
      </c>
      <c r="B304" s="1">
        <f>PMT(CFs!$B$7/12,CFs!$B$8,CFs!$B$6)</f>
        <v>-3698.1734523520558</v>
      </c>
      <c r="C304" s="2">
        <f>-E303*CFs!$B$7/12</f>
        <v>-1199.3724548458474</v>
      </c>
      <c r="D304" s="1">
        <f t="shared" si="12"/>
        <v>-2498.8009975062087</v>
      </c>
      <c r="E304" s="1">
        <f t="shared" si="13"/>
        <v>177407.06722937088</v>
      </c>
    </row>
    <row r="305" spans="1:5">
      <c r="A305" s="120">
        <f t="shared" si="14"/>
        <v>303</v>
      </c>
      <c r="B305" s="1">
        <f>PMT(CFs!$B$7/12,CFs!$B$8,CFs!$B$6)</f>
        <v>-3698.1734523520558</v>
      </c>
      <c r="C305" s="2">
        <f>-E304*CFs!$B$7/12</f>
        <v>-1182.7137815291392</v>
      </c>
      <c r="D305" s="1">
        <f t="shared" si="12"/>
        <v>-2515.4596708229165</v>
      </c>
      <c r="E305" s="1">
        <f t="shared" si="13"/>
        <v>174891.60755854796</v>
      </c>
    </row>
    <row r="306" spans="1:5">
      <c r="A306" s="120">
        <f t="shared" si="14"/>
        <v>304</v>
      </c>
      <c r="B306" s="1">
        <f>PMT(CFs!$B$7/12,CFs!$B$8,CFs!$B$6)</f>
        <v>-3698.1734523520558</v>
      </c>
      <c r="C306" s="2">
        <f>-E305*CFs!$B$7/12</f>
        <v>-1165.9440503903197</v>
      </c>
      <c r="D306" s="1">
        <f t="shared" si="12"/>
        <v>-2532.2294019617361</v>
      </c>
      <c r="E306" s="1">
        <f t="shared" si="13"/>
        <v>172359.37815658623</v>
      </c>
    </row>
    <row r="307" spans="1:5">
      <c r="A307" s="120">
        <f t="shared" si="14"/>
        <v>305</v>
      </c>
      <c r="B307" s="1">
        <f>PMT(CFs!$B$7/12,CFs!$B$8,CFs!$B$6)</f>
        <v>-3698.1734523520558</v>
      </c>
      <c r="C307" s="2">
        <f>-E306*CFs!$B$7/12</f>
        <v>-1149.0625210439082</v>
      </c>
      <c r="D307" s="1">
        <f t="shared" si="12"/>
        <v>-2549.1109313081479</v>
      </c>
      <c r="E307" s="1">
        <f t="shared" si="13"/>
        <v>169810.26722527808</v>
      </c>
    </row>
    <row r="308" spans="1:5">
      <c r="A308" s="120">
        <f t="shared" si="14"/>
        <v>306</v>
      </c>
      <c r="B308" s="1">
        <f>PMT(CFs!$B$7/12,CFs!$B$8,CFs!$B$6)</f>
        <v>-3698.1734523520558</v>
      </c>
      <c r="C308" s="2">
        <f>-E307*CFs!$B$7/12</f>
        <v>-1132.0684481685205</v>
      </c>
      <c r="D308" s="1">
        <f t="shared" si="12"/>
        <v>-2566.1050041835351</v>
      </c>
      <c r="E308" s="1">
        <f t="shared" si="13"/>
        <v>167244.16222109454</v>
      </c>
    </row>
    <row r="309" spans="1:5">
      <c r="A309" s="120">
        <f t="shared" si="14"/>
        <v>307</v>
      </c>
      <c r="B309" s="1">
        <f>PMT(CFs!$B$7/12,CFs!$B$8,CFs!$B$6)</f>
        <v>-3698.1734523520558</v>
      </c>
      <c r="C309" s="2">
        <f>-E308*CFs!$B$7/12</f>
        <v>-1114.9610814739635</v>
      </c>
      <c r="D309" s="1">
        <f t="shared" ref="D309:D362" si="15">B309-C309</f>
        <v>-2583.2123708780923</v>
      </c>
      <c r="E309" s="1">
        <f t="shared" ref="E309:E362" si="16">E308+D309</f>
        <v>164660.94985021645</v>
      </c>
    </row>
    <row r="310" spans="1:5">
      <c r="A310" s="120">
        <f t="shared" si="14"/>
        <v>308</v>
      </c>
      <c r="B310" s="1">
        <f>PMT(CFs!$B$7/12,CFs!$B$8,CFs!$B$6)</f>
        <v>-3698.1734523520558</v>
      </c>
      <c r="C310" s="2">
        <f>-E309*CFs!$B$7/12</f>
        <v>-1097.7396656681096</v>
      </c>
      <c r="D310" s="1">
        <f t="shared" si="15"/>
        <v>-2600.433786683946</v>
      </c>
      <c r="E310" s="1">
        <f t="shared" si="16"/>
        <v>162060.5160635325</v>
      </c>
    </row>
    <row r="311" spans="1:5">
      <c r="A311" s="120">
        <f t="shared" si="14"/>
        <v>309</v>
      </c>
      <c r="B311" s="1">
        <f>PMT(CFs!$B$7/12,CFs!$B$8,CFs!$B$6)</f>
        <v>-3698.1734523520558</v>
      </c>
      <c r="C311" s="2">
        <f>-E310*CFs!$B$7/12</f>
        <v>-1080.4034404235501</v>
      </c>
      <c r="D311" s="1">
        <f t="shared" si="15"/>
        <v>-2617.7700119285055</v>
      </c>
      <c r="E311" s="1">
        <f t="shared" si="16"/>
        <v>159442.74605160399</v>
      </c>
    </row>
    <row r="312" spans="1:5">
      <c r="A312" s="120">
        <f t="shared" si="14"/>
        <v>310</v>
      </c>
      <c r="B312" s="1">
        <f>PMT(CFs!$B$7/12,CFs!$B$8,CFs!$B$6)</f>
        <v>-3698.1734523520558</v>
      </c>
      <c r="C312" s="2">
        <f>-E311*CFs!$B$7/12</f>
        <v>-1062.9516403440266</v>
      </c>
      <c r="D312" s="1">
        <f t="shared" si="15"/>
        <v>-2635.2218120080292</v>
      </c>
      <c r="E312" s="1">
        <f t="shared" si="16"/>
        <v>156807.52423959595</v>
      </c>
    </row>
    <row r="313" spans="1:5">
      <c r="A313" s="120">
        <f t="shared" si="14"/>
        <v>311</v>
      </c>
      <c r="B313" s="1">
        <f>PMT(CFs!$B$7/12,CFs!$B$8,CFs!$B$6)</f>
        <v>-3698.1734523520558</v>
      </c>
      <c r="C313" s="2">
        <f>-E312*CFs!$B$7/12</f>
        <v>-1045.3834949306397</v>
      </c>
      <c r="D313" s="1">
        <f t="shared" si="15"/>
        <v>-2652.7899574214161</v>
      </c>
      <c r="E313" s="1">
        <f t="shared" si="16"/>
        <v>154154.73428217453</v>
      </c>
    </row>
    <row r="314" spans="1:5">
      <c r="A314" s="120">
        <f t="shared" si="14"/>
        <v>312</v>
      </c>
      <c r="B314" s="1">
        <f>PMT(CFs!$B$7/12,CFs!$B$8,CFs!$B$6)</f>
        <v>-3698.1734523520558</v>
      </c>
      <c r="C314" s="2">
        <f>-E313*CFs!$B$7/12</f>
        <v>-1027.6982285478302</v>
      </c>
      <c r="D314" s="1">
        <f t="shared" si="15"/>
        <v>-2670.4752238042256</v>
      </c>
      <c r="E314" s="1">
        <f t="shared" si="16"/>
        <v>151484.25905837031</v>
      </c>
    </row>
    <row r="315" spans="1:5">
      <c r="A315" s="120">
        <f t="shared" si="14"/>
        <v>313</v>
      </c>
      <c r="B315" s="1">
        <f>PMT(CFs!$B$7/12,CFs!$B$8,CFs!$B$6)</f>
        <v>-3698.1734523520558</v>
      </c>
      <c r="C315" s="2">
        <f>-E314*CFs!$B$7/12</f>
        <v>-1009.8950603891354</v>
      </c>
      <c r="D315" s="1">
        <f t="shared" si="15"/>
        <v>-2688.2783919629205</v>
      </c>
      <c r="E315" s="1">
        <f t="shared" si="16"/>
        <v>148795.98066640738</v>
      </c>
    </row>
    <row r="316" spans="1:5">
      <c r="A316" s="120">
        <f t="shared" si="14"/>
        <v>314</v>
      </c>
      <c r="B316" s="1">
        <f>PMT(CFs!$B$7/12,CFs!$B$8,CFs!$B$6)</f>
        <v>-3698.1734523520558</v>
      </c>
      <c r="C316" s="2">
        <f>-E315*CFs!$B$7/12</f>
        <v>-991.97320444271588</v>
      </c>
      <c r="D316" s="1">
        <f t="shared" si="15"/>
        <v>-2706.2002479093399</v>
      </c>
      <c r="E316" s="1">
        <f t="shared" si="16"/>
        <v>146089.78041849803</v>
      </c>
    </row>
    <row r="317" spans="1:5">
      <c r="A317" s="120">
        <f t="shared" si="14"/>
        <v>315</v>
      </c>
      <c r="B317" s="1">
        <f>PMT(CFs!$B$7/12,CFs!$B$8,CFs!$B$6)</f>
        <v>-3698.1734523520558</v>
      </c>
      <c r="C317" s="2">
        <f>-E316*CFs!$B$7/12</f>
        <v>-973.93186945665354</v>
      </c>
      <c r="D317" s="1">
        <f t="shared" si="15"/>
        <v>-2724.2415828954022</v>
      </c>
      <c r="E317" s="1">
        <f t="shared" si="16"/>
        <v>143365.53883560264</v>
      </c>
    </row>
    <row r="318" spans="1:5">
      <c r="A318" s="120">
        <f t="shared" si="14"/>
        <v>316</v>
      </c>
      <c r="B318" s="1">
        <f>PMT(CFs!$B$7/12,CFs!$B$8,CFs!$B$6)</f>
        <v>-3698.1734523520558</v>
      </c>
      <c r="C318" s="2">
        <f>-E317*CFs!$B$7/12</f>
        <v>-955.77025890401762</v>
      </c>
      <c r="D318" s="1">
        <f t="shared" si="15"/>
        <v>-2742.4031934480381</v>
      </c>
      <c r="E318" s="1">
        <f t="shared" si="16"/>
        <v>140623.13564215461</v>
      </c>
    </row>
    <row r="319" spans="1:5">
      <c r="A319" s="120">
        <f t="shared" si="14"/>
        <v>317</v>
      </c>
      <c r="B319" s="1">
        <f>PMT(CFs!$B$7/12,CFs!$B$8,CFs!$B$6)</f>
        <v>-3698.1734523520558</v>
      </c>
      <c r="C319" s="2">
        <f>-E318*CFs!$B$7/12</f>
        <v>-937.48757094769735</v>
      </c>
      <c r="D319" s="1">
        <f t="shared" si="15"/>
        <v>-2760.6858814043585</v>
      </c>
      <c r="E319" s="1">
        <f t="shared" si="16"/>
        <v>137862.44976075026</v>
      </c>
    </row>
    <row r="320" spans="1:5">
      <c r="A320" s="120">
        <f t="shared" si="14"/>
        <v>318</v>
      </c>
      <c r="B320" s="1">
        <f>PMT(CFs!$B$7/12,CFs!$B$8,CFs!$B$6)</f>
        <v>-3698.1734523520558</v>
      </c>
      <c r="C320" s="2">
        <f>-E319*CFs!$B$7/12</f>
        <v>-919.08299840500183</v>
      </c>
      <c r="D320" s="1">
        <f t="shared" si="15"/>
        <v>-2779.0904539470539</v>
      </c>
      <c r="E320" s="1">
        <f t="shared" si="16"/>
        <v>135083.35930680321</v>
      </c>
    </row>
    <row r="321" spans="1:5">
      <c r="A321" s="120">
        <f t="shared" si="14"/>
        <v>319</v>
      </c>
      <c r="B321" s="1">
        <f>PMT(CFs!$B$7/12,CFs!$B$8,CFs!$B$6)</f>
        <v>-3698.1734523520558</v>
      </c>
      <c r="C321" s="2">
        <f>-E320*CFs!$B$7/12</f>
        <v>-900.55572871202139</v>
      </c>
      <c r="D321" s="1">
        <f t="shared" si="15"/>
        <v>-2797.6177236400345</v>
      </c>
      <c r="E321" s="1">
        <f t="shared" si="16"/>
        <v>132285.74158316318</v>
      </c>
    </row>
    <row r="322" spans="1:5">
      <c r="A322" s="120">
        <f t="shared" si="14"/>
        <v>320</v>
      </c>
      <c r="B322" s="1">
        <f>PMT(CFs!$B$7/12,CFs!$B$8,CFs!$B$6)</f>
        <v>-3698.1734523520558</v>
      </c>
      <c r="C322" s="2">
        <f>-E321*CFs!$B$7/12</f>
        <v>-881.9049438877546</v>
      </c>
      <c r="D322" s="1">
        <f t="shared" si="15"/>
        <v>-2816.2685084643012</v>
      </c>
      <c r="E322" s="1">
        <f t="shared" si="16"/>
        <v>129469.47307469888</v>
      </c>
    </row>
    <row r="323" spans="1:5">
      <c r="A323" s="120">
        <f t="shared" si="14"/>
        <v>321</v>
      </c>
      <c r="B323" s="1">
        <f>PMT(CFs!$B$7/12,CFs!$B$8,CFs!$B$6)</f>
        <v>-3698.1734523520558</v>
      </c>
      <c r="C323" s="2">
        <f>-E322*CFs!$B$7/12</f>
        <v>-863.12982049799257</v>
      </c>
      <c r="D323" s="1">
        <f t="shared" si="15"/>
        <v>-2835.0436318540633</v>
      </c>
      <c r="E323" s="1">
        <f t="shared" si="16"/>
        <v>126634.42944284482</v>
      </c>
    </row>
    <row r="324" spans="1:5">
      <c r="A324" s="120">
        <f t="shared" si="14"/>
        <v>322</v>
      </c>
      <c r="B324" s="1">
        <f>PMT(CFs!$B$7/12,CFs!$B$8,CFs!$B$6)</f>
        <v>-3698.1734523520558</v>
      </c>
      <c r="C324" s="2">
        <f>-E323*CFs!$B$7/12</f>
        <v>-844.22952961896544</v>
      </c>
      <c r="D324" s="1">
        <f t="shared" si="15"/>
        <v>-2853.9439227330904</v>
      </c>
      <c r="E324" s="1">
        <f t="shared" si="16"/>
        <v>123780.48552011173</v>
      </c>
    </row>
    <row r="325" spans="1:5">
      <c r="A325" s="120">
        <f t="shared" ref="A325:A362" si="17">A324+1</f>
        <v>323</v>
      </c>
      <c r="B325" s="1">
        <f>PMT(CFs!$B$7/12,CFs!$B$8,CFs!$B$6)</f>
        <v>-3698.1734523520558</v>
      </c>
      <c r="C325" s="2">
        <f>-E324*CFs!$B$7/12</f>
        <v>-825.20323680074489</v>
      </c>
      <c r="D325" s="1">
        <f t="shared" si="15"/>
        <v>-2872.970215551311</v>
      </c>
      <c r="E325" s="1">
        <f t="shared" si="16"/>
        <v>120907.51530456042</v>
      </c>
    </row>
    <row r="326" spans="1:5">
      <c r="A326" s="120">
        <f t="shared" si="17"/>
        <v>324</v>
      </c>
      <c r="B326" s="1">
        <f>PMT(CFs!$B$7/12,CFs!$B$8,CFs!$B$6)</f>
        <v>-3698.1734523520558</v>
      </c>
      <c r="C326" s="2">
        <f>-E325*CFs!$B$7/12</f>
        <v>-806.05010203040285</v>
      </c>
      <c r="D326" s="1">
        <f t="shared" si="15"/>
        <v>-2892.1233503216531</v>
      </c>
      <c r="E326" s="1">
        <f t="shared" si="16"/>
        <v>118015.39195423877</v>
      </c>
    </row>
    <row r="327" spans="1:5">
      <c r="A327" s="120">
        <f t="shared" si="17"/>
        <v>325</v>
      </c>
      <c r="B327" s="1">
        <f>PMT(CFs!$B$7/12,CFs!$B$8,CFs!$B$6)</f>
        <v>-3698.1734523520558</v>
      </c>
      <c r="C327" s="2">
        <f>-E326*CFs!$B$7/12</f>
        <v>-786.7692796949251</v>
      </c>
      <c r="D327" s="1">
        <f t="shared" si="15"/>
        <v>-2911.4041726571309</v>
      </c>
      <c r="E327" s="1">
        <f t="shared" si="16"/>
        <v>115103.98778158164</v>
      </c>
    </row>
    <row r="328" spans="1:5">
      <c r="A328" s="120">
        <f t="shared" si="17"/>
        <v>326</v>
      </c>
      <c r="B328" s="1">
        <f>PMT(CFs!$B$7/12,CFs!$B$8,CFs!$B$6)</f>
        <v>-3698.1734523520558</v>
      </c>
      <c r="C328" s="2">
        <f>-E327*CFs!$B$7/12</f>
        <v>-767.3599185438776</v>
      </c>
      <c r="D328" s="1">
        <f t="shared" si="15"/>
        <v>-2930.8135338081784</v>
      </c>
      <c r="E328" s="1">
        <f t="shared" si="16"/>
        <v>112173.17424777347</v>
      </c>
    </row>
    <row r="329" spans="1:5">
      <c r="A329" s="120">
        <f t="shared" si="17"/>
        <v>327</v>
      </c>
      <c r="B329" s="1">
        <f>PMT(CFs!$B$7/12,CFs!$B$8,CFs!$B$6)</f>
        <v>-3698.1734523520558</v>
      </c>
      <c r="C329" s="2">
        <f>-E328*CFs!$B$7/12</f>
        <v>-747.82116165182322</v>
      </c>
      <c r="D329" s="1">
        <f t="shared" si="15"/>
        <v>-2950.3522907002325</v>
      </c>
      <c r="E329" s="1">
        <f t="shared" si="16"/>
        <v>109222.82195707323</v>
      </c>
    </row>
    <row r="330" spans="1:5">
      <c r="A330" s="120">
        <f t="shared" si="17"/>
        <v>328</v>
      </c>
      <c r="B330" s="1">
        <f>PMT(CFs!$B$7/12,CFs!$B$8,CFs!$B$6)</f>
        <v>-3698.1734523520558</v>
      </c>
      <c r="C330" s="2">
        <f>-E329*CFs!$B$7/12</f>
        <v>-728.15214638048826</v>
      </c>
      <c r="D330" s="1">
        <f t="shared" si="15"/>
        <v>-2970.0213059715675</v>
      </c>
      <c r="E330" s="1">
        <f t="shared" si="16"/>
        <v>106252.80065110167</v>
      </c>
    </row>
    <row r="331" spans="1:5">
      <c r="A331" s="120">
        <f t="shared" si="17"/>
        <v>329</v>
      </c>
      <c r="B331" s="1">
        <f>PMT(CFs!$B$7/12,CFs!$B$8,CFs!$B$6)</f>
        <v>-3698.1734523520558</v>
      </c>
      <c r="C331" s="2">
        <f>-E330*CFs!$B$7/12</f>
        <v>-708.35200434067781</v>
      </c>
      <c r="D331" s="1">
        <f t="shared" si="15"/>
        <v>-2989.8214480113779</v>
      </c>
      <c r="E331" s="1">
        <f t="shared" si="16"/>
        <v>103262.97920309029</v>
      </c>
    </row>
    <row r="332" spans="1:5">
      <c r="A332" s="120">
        <f t="shared" si="17"/>
        <v>330</v>
      </c>
      <c r="B332" s="1">
        <f>PMT(CFs!$B$7/12,CFs!$B$8,CFs!$B$6)</f>
        <v>-3698.1734523520558</v>
      </c>
      <c r="C332" s="2">
        <f>-E331*CFs!$B$7/12</f>
        <v>-688.41986135393529</v>
      </c>
      <c r="D332" s="1">
        <f t="shared" si="15"/>
        <v>-3009.7535909981207</v>
      </c>
      <c r="E332" s="1">
        <f t="shared" si="16"/>
        <v>100253.22561209217</v>
      </c>
    </row>
    <row r="333" spans="1:5">
      <c r="A333" s="120">
        <f t="shared" si="17"/>
        <v>331</v>
      </c>
      <c r="B333" s="1">
        <f>PMT(CFs!$B$7/12,CFs!$B$8,CFs!$B$6)</f>
        <v>-3698.1734523520558</v>
      </c>
      <c r="C333" s="2">
        <f>-E332*CFs!$B$7/12</f>
        <v>-668.35483741394785</v>
      </c>
      <c r="D333" s="1">
        <f t="shared" si="15"/>
        <v>-3029.8186149381081</v>
      </c>
      <c r="E333" s="1">
        <f t="shared" si="16"/>
        <v>97223.406997154059</v>
      </c>
    </row>
    <row r="334" spans="1:5">
      <c r="A334" s="120">
        <f t="shared" si="17"/>
        <v>332</v>
      </c>
      <c r="B334" s="1">
        <f>PMT(CFs!$B$7/12,CFs!$B$8,CFs!$B$6)</f>
        <v>-3698.1734523520558</v>
      </c>
      <c r="C334" s="2">
        <f>-E333*CFs!$B$7/12</f>
        <v>-648.15604664769376</v>
      </c>
      <c r="D334" s="1">
        <f t="shared" si="15"/>
        <v>-3050.0174057043623</v>
      </c>
      <c r="E334" s="1">
        <f t="shared" si="16"/>
        <v>94173.389591449697</v>
      </c>
    </row>
    <row r="335" spans="1:5">
      <c r="A335" s="120">
        <f t="shared" si="17"/>
        <v>333</v>
      </c>
      <c r="B335" s="1">
        <f>PMT(CFs!$B$7/12,CFs!$B$8,CFs!$B$6)</f>
        <v>-3698.1734523520558</v>
      </c>
      <c r="C335" s="2">
        <f>-E334*CFs!$B$7/12</f>
        <v>-627.82259727633129</v>
      </c>
      <c r="D335" s="1">
        <f t="shared" si="15"/>
        <v>-3070.3508550757247</v>
      </c>
      <c r="E335" s="1">
        <f t="shared" si="16"/>
        <v>91103.038736373972</v>
      </c>
    </row>
    <row r="336" spans="1:5">
      <c r="A336" s="120">
        <f t="shared" si="17"/>
        <v>334</v>
      </c>
      <c r="B336" s="1">
        <f>PMT(CFs!$B$7/12,CFs!$B$8,CFs!$B$6)</f>
        <v>-3698.1734523520558</v>
      </c>
      <c r="C336" s="2">
        <f>-E335*CFs!$B$7/12</f>
        <v>-607.3535915758265</v>
      </c>
      <c r="D336" s="1">
        <f t="shared" si="15"/>
        <v>-3090.8198607762292</v>
      </c>
      <c r="E336" s="1">
        <f t="shared" si="16"/>
        <v>88012.21887559774</v>
      </c>
    </row>
    <row r="337" spans="1:5">
      <c r="A337" s="120">
        <f t="shared" si="17"/>
        <v>335</v>
      </c>
      <c r="B337" s="1">
        <f>PMT(CFs!$B$7/12,CFs!$B$8,CFs!$B$6)</f>
        <v>-3698.1734523520558</v>
      </c>
      <c r="C337" s="2">
        <f>-E336*CFs!$B$7/12</f>
        <v>-586.7481258373183</v>
      </c>
      <c r="D337" s="1">
        <f t="shared" si="15"/>
        <v>-3111.4253265147377</v>
      </c>
      <c r="E337" s="1">
        <f t="shared" si="16"/>
        <v>84900.793549082999</v>
      </c>
    </row>
    <row r="338" spans="1:5">
      <c r="A338" s="120">
        <f t="shared" si="17"/>
        <v>336</v>
      </c>
      <c r="B338" s="1">
        <f>PMT(CFs!$B$7/12,CFs!$B$8,CFs!$B$6)</f>
        <v>-3698.1734523520558</v>
      </c>
      <c r="C338" s="2">
        <f>-E337*CFs!$B$7/12</f>
        <v>-566.00529032722</v>
      </c>
      <c r="D338" s="1">
        <f t="shared" si="15"/>
        <v>-3132.168162024836</v>
      </c>
      <c r="E338" s="1">
        <f t="shared" si="16"/>
        <v>81768.625387058157</v>
      </c>
    </row>
    <row r="339" spans="1:5">
      <c r="A339" s="120">
        <f t="shared" si="17"/>
        <v>337</v>
      </c>
      <c r="B339" s="1">
        <f>PMT(CFs!$B$7/12,CFs!$B$8,CFs!$B$6)</f>
        <v>-3698.1734523520558</v>
      </c>
      <c r="C339" s="2">
        <f>-E338*CFs!$B$7/12</f>
        <v>-545.1241692470544</v>
      </c>
      <c r="D339" s="1">
        <f t="shared" si="15"/>
        <v>-3153.0492831050015</v>
      </c>
      <c r="E339" s="1">
        <f t="shared" si="16"/>
        <v>78615.57610395315</v>
      </c>
    </row>
    <row r="340" spans="1:5">
      <c r="A340" s="120">
        <f t="shared" si="17"/>
        <v>338</v>
      </c>
      <c r="B340" s="1">
        <f>PMT(CFs!$B$7/12,CFs!$B$8,CFs!$B$6)</f>
        <v>-3698.1734523520558</v>
      </c>
      <c r="C340" s="2">
        <f>-E339*CFs!$B$7/12</f>
        <v>-524.10384069302097</v>
      </c>
      <c r="D340" s="1">
        <f t="shared" si="15"/>
        <v>-3174.0696116590348</v>
      </c>
      <c r="E340" s="1">
        <f t="shared" si="16"/>
        <v>75441.506492294109</v>
      </c>
    </row>
    <row r="341" spans="1:5">
      <c r="A341" s="120">
        <f t="shared" si="17"/>
        <v>339</v>
      </c>
      <c r="B341" s="1">
        <f>PMT(CFs!$B$7/12,CFs!$B$8,CFs!$B$6)</f>
        <v>-3698.1734523520558</v>
      </c>
      <c r="C341" s="2">
        <f>-E340*CFs!$B$7/12</f>
        <v>-502.94337661529408</v>
      </c>
      <c r="D341" s="1">
        <f t="shared" si="15"/>
        <v>-3195.2300757367616</v>
      </c>
      <c r="E341" s="1">
        <f t="shared" si="16"/>
        <v>72246.276416557346</v>
      </c>
    </row>
    <row r="342" spans="1:5">
      <c r="A342" s="120">
        <f t="shared" si="17"/>
        <v>340</v>
      </c>
      <c r="B342" s="1">
        <f>PMT(CFs!$B$7/12,CFs!$B$8,CFs!$B$6)</f>
        <v>-3698.1734523520558</v>
      </c>
      <c r="C342" s="2">
        <f>-E341*CFs!$B$7/12</f>
        <v>-481.64184277704902</v>
      </c>
      <c r="D342" s="1">
        <f t="shared" si="15"/>
        <v>-3216.5316095750068</v>
      </c>
      <c r="E342" s="1">
        <f t="shared" si="16"/>
        <v>69029.744806982344</v>
      </c>
    </row>
    <row r="343" spans="1:5">
      <c r="A343" s="120">
        <f t="shared" si="17"/>
        <v>341</v>
      </c>
      <c r="B343" s="1">
        <f>PMT(CFs!$B$7/12,CFs!$B$8,CFs!$B$6)</f>
        <v>-3698.1734523520558</v>
      </c>
      <c r="C343" s="2">
        <f>-E342*CFs!$B$7/12</f>
        <v>-460.19829871321559</v>
      </c>
      <c r="D343" s="1">
        <f t="shared" si="15"/>
        <v>-3237.9751536388403</v>
      </c>
      <c r="E343" s="1">
        <f t="shared" si="16"/>
        <v>65791.769653343508</v>
      </c>
    </row>
    <row r="344" spans="1:5">
      <c r="A344" s="120">
        <f t="shared" si="17"/>
        <v>342</v>
      </c>
      <c r="B344" s="1">
        <f>PMT(CFs!$B$7/12,CFs!$B$8,CFs!$B$6)</f>
        <v>-3698.1734523520558</v>
      </c>
      <c r="C344" s="2">
        <f>-E343*CFs!$B$7/12</f>
        <v>-438.61179768895676</v>
      </c>
      <c r="D344" s="1">
        <f t="shared" si="15"/>
        <v>-3259.561654663099</v>
      </c>
      <c r="E344" s="1">
        <f t="shared" si="16"/>
        <v>62532.207998680409</v>
      </c>
    </row>
    <row r="345" spans="1:5">
      <c r="A345" s="120">
        <f t="shared" si="17"/>
        <v>343</v>
      </c>
      <c r="B345" s="1">
        <f>PMT(CFs!$B$7/12,CFs!$B$8,CFs!$B$6)</f>
        <v>-3698.1734523520558</v>
      </c>
      <c r="C345" s="2">
        <f>-E344*CFs!$B$7/12</f>
        <v>-416.88138665786937</v>
      </c>
      <c r="D345" s="1">
        <f t="shared" si="15"/>
        <v>-3281.2920656941865</v>
      </c>
      <c r="E345" s="1">
        <f t="shared" si="16"/>
        <v>59250.915932986223</v>
      </c>
    </row>
    <row r="346" spans="1:5">
      <c r="A346" s="120">
        <f t="shared" si="17"/>
        <v>344</v>
      </c>
      <c r="B346" s="1">
        <f>PMT(CFs!$B$7/12,CFs!$B$8,CFs!$B$6)</f>
        <v>-3698.1734523520558</v>
      </c>
      <c r="C346" s="2">
        <f>-E345*CFs!$B$7/12</f>
        <v>-395.00610621990813</v>
      </c>
      <c r="D346" s="1">
        <f t="shared" si="15"/>
        <v>-3303.1673461321479</v>
      </c>
      <c r="E346" s="1">
        <f t="shared" si="16"/>
        <v>55947.748586854075</v>
      </c>
    </row>
    <row r="347" spans="1:5">
      <c r="A347" s="120">
        <f t="shared" si="17"/>
        <v>345</v>
      </c>
      <c r="B347" s="1">
        <f>PMT(CFs!$B$7/12,CFs!$B$8,CFs!$B$6)</f>
        <v>-3698.1734523520558</v>
      </c>
      <c r="C347" s="2">
        <f>-E346*CFs!$B$7/12</f>
        <v>-372.98499057902717</v>
      </c>
      <c r="D347" s="1">
        <f t="shared" si="15"/>
        <v>-3325.1884617730288</v>
      </c>
      <c r="E347" s="1">
        <f t="shared" si="16"/>
        <v>52622.560125081043</v>
      </c>
    </row>
    <row r="348" spans="1:5">
      <c r="A348" s="120">
        <f t="shared" si="17"/>
        <v>346</v>
      </c>
      <c r="B348" s="1">
        <f>PMT(CFs!$B$7/12,CFs!$B$8,CFs!$B$6)</f>
        <v>-3698.1734523520558</v>
      </c>
      <c r="C348" s="2">
        <f>-E347*CFs!$B$7/12</f>
        <v>-350.8170675005403</v>
      </c>
      <c r="D348" s="1">
        <f t="shared" si="15"/>
        <v>-3347.3563848515155</v>
      </c>
      <c r="E348" s="1">
        <f t="shared" si="16"/>
        <v>49275.203740229525</v>
      </c>
    </row>
    <row r="349" spans="1:5">
      <c r="A349" s="120">
        <f t="shared" si="17"/>
        <v>347</v>
      </c>
      <c r="B349" s="1">
        <f>PMT(CFs!$B$7/12,CFs!$B$8,CFs!$B$6)</f>
        <v>-3698.1734523520558</v>
      </c>
      <c r="C349" s="2">
        <f>-E348*CFs!$B$7/12</f>
        <v>-328.50135826819684</v>
      </c>
      <c r="D349" s="1">
        <f t="shared" si="15"/>
        <v>-3369.6720940838591</v>
      </c>
      <c r="E349" s="1">
        <f t="shared" si="16"/>
        <v>45905.531646145668</v>
      </c>
    </row>
    <row r="350" spans="1:5">
      <c r="A350" s="120">
        <f t="shared" si="17"/>
        <v>348</v>
      </c>
      <c r="B350" s="1">
        <f>PMT(CFs!$B$7/12,CFs!$B$8,CFs!$B$6)</f>
        <v>-3698.1734523520558</v>
      </c>
      <c r="C350" s="2">
        <f>-E349*CFs!$B$7/12</f>
        <v>-306.03687764097111</v>
      </c>
      <c r="D350" s="1">
        <f t="shared" si="15"/>
        <v>-3392.1365747110849</v>
      </c>
      <c r="E350" s="1">
        <f t="shared" si="16"/>
        <v>42513.395071434585</v>
      </c>
    </row>
    <row r="351" spans="1:5">
      <c r="A351" s="120">
        <f t="shared" si="17"/>
        <v>349</v>
      </c>
      <c r="B351" s="1">
        <f>PMT(CFs!$B$7/12,CFs!$B$8,CFs!$B$6)</f>
        <v>-3698.1734523520558</v>
      </c>
      <c r="C351" s="2">
        <f>-E350*CFs!$B$7/12</f>
        <v>-283.42263380956393</v>
      </c>
      <c r="D351" s="1">
        <f t="shared" si="15"/>
        <v>-3414.7508185424917</v>
      </c>
      <c r="E351" s="1">
        <f t="shared" si="16"/>
        <v>39098.644252892096</v>
      </c>
    </row>
    <row r="352" spans="1:5">
      <c r="A352" s="120">
        <f t="shared" si="17"/>
        <v>350</v>
      </c>
      <c r="B352" s="1">
        <f>PMT(CFs!$B$7/12,CFs!$B$8,CFs!$B$6)</f>
        <v>-3698.1734523520558</v>
      </c>
      <c r="C352" s="2">
        <f>-E351*CFs!$B$7/12</f>
        <v>-260.65762835261398</v>
      </c>
      <c r="D352" s="1">
        <f t="shared" si="15"/>
        <v>-3437.5158239994416</v>
      </c>
      <c r="E352" s="1">
        <f t="shared" si="16"/>
        <v>35661.128428892654</v>
      </c>
    </row>
    <row r="353" spans="1:5">
      <c r="A353" s="120">
        <f t="shared" si="17"/>
        <v>351</v>
      </c>
      <c r="B353" s="1">
        <f>PMT(CFs!$B$7/12,CFs!$B$8,CFs!$B$6)</f>
        <v>-3698.1734523520558</v>
      </c>
      <c r="C353" s="2">
        <f>-E352*CFs!$B$7/12</f>
        <v>-237.74085619261768</v>
      </c>
      <c r="D353" s="1">
        <f t="shared" si="15"/>
        <v>-3460.4325961594382</v>
      </c>
      <c r="E353" s="1">
        <f t="shared" si="16"/>
        <v>32200.695832733218</v>
      </c>
    </row>
    <row r="354" spans="1:5">
      <c r="A354" s="120">
        <f t="shared" si="17"/>
        <v>352</v>
      </c>
      <c r="B354" s="1">
        <f>PMT(CFs!$B$7/12,CFs!$B$8,CFs!$B$6)</f>
        <v>-3698.1734523520558</v>
      </c>
      <c r="C354" s="2">
        <f>-E353*CFs!$B$7/12</f>
        <v>-214.67130555155481</v>
      </c>
      <c r="D354" s="1">
        <f t="shared" si="15"/>
        <v>-3483.5021468005011</v>
      </c>
      <c r="E354" s="1">
        <f t="shared" si="16"/>
        <v>28717.193685932718</v>
      </c>
    </row>
    <row r="355" spans="1:5">
      <c r="A355" s="120">
        <f t="shared" si="17"/>
        <v>353</v>
      </c>
      <c r="B355" s="1">
        <f>PMT(CFs!$B$7/12,CFs!$B$8,CFs!$B$6)</f>
        <v>-3698.1734523520558</v>
      </c>
      <c r="C355" s="2">
        <f>-E354*CFs!$B$7/12</f>
        <v>-191.44795790621811</v>
      </c>
      <c r="D355" s="1">
        <f t="shared" si="15"/>
        <v>-3506.7254944458377</v>
      </c>
      <c r="E355" s="1">
        <f t="shared" si="16"/>
        <v>25210.468191486882</v>
      </c>
    </row>
    <row r="356" spans="1:5">
      <c r="A356" s="120">
        <f t="shared" si="17"/>
        <v>354</v>
      </c>
      <c r="B356" s="1">
        <f>PMT(CFs!$B$7/12,CFs!$B$8,CFs!$B$6)</f>
        <v>-3698.1734523520558</v>
      </c>
      <c r="C356" s="2">
        <f>-E355*CFs!$B$7/12</f>
        <v>-168.06978794324587</v>
      </c>
      <c r="D356" s="1">
        <f t="shared" si="15"/>
        <v>-3530.1036644088099</v>
      </c>
      <c r="E356" s="1">
        <f t="shared" si="16"/>
        <v>21680.364527078073</v>
      </c>
    </row>
    <row r="357" spans="1:5">
      <c r="A357" s="120">
        <f t="shared" si="17"/>
        <v>355</v>
      </c>
      <c r="B357" s="1">
        <f>PMT(CFs!$B$7/12,CFs!$B$8,CFs!$B$6)</f>
        <v>-3698.1734523520558</v>
      </c>
      <c r="C357" s="2">
        <f>-E356*CFs!$B$7/12</f>
        <v>-144.53576351385382</v>
      </c>
      <c r="D357" s="1">
        <f t="shared" si="15"/>
        <v>-3553.6376888382019</v>
      </c>
      <c r="E357" s="1">
        <f t="shared" si="16"/>
        <v>18126.726838239869</v>
      </c>
    </row>
    <row r="358" spans="1:5">
      <c r="A358" s="120">
        <f t="shared" si="17"/>
        <v>356</v>
      </c>
      <c r="B358" s="1">
        <f>PMT(CFs!$B$7/12,CFs!$B$8,CFs!$B$6)</f>
        <v>-3698.1734523520558</v>
      </c>
      <c r="C358" s="2">
        <f>-E357*CFs!$B$7/12</f>
        <v>-120.8448455882658</v>
      </c>
      <c r="D358" s="1">
        <f t="shared" si="15"/>
        <v>-3577.32860676379</v>
      </c>
      <c r="E358" s="1">
        <f t="shared" si="16"/>
        <v>14549.39823147608</v>
      </c>
    </row>
    <row r="359" spans="1:5">
      <c r="A359" s="120">
        <f t="shared" si="17"/>
        <v>357</v>
      </c>
      <c r="B359" s="1">
        <f>PMT(CFs!$B$7/12,CFs!$B$8,CFs!$B$6)</f>
        <v>-3698.1734523520558</v>
      </c>
      <c r="C359" s="2">
        <f>-E358*CFs!$B$7/12</f>
        <v>-96.995988209840547</v>
      </c>
      <c r="D359" s="1">
        <f t="shared" si="15"/>
        <v>-3601.1774641422153</v>
      </c>
      <c r="E359" s="1">
        <f t="shared" si="16"/>
        <v>10948.220767333863</v>
      </c>
    </row>
    <row r="360" spans="1:5">
      <c r="A360" s="120">
        <f t="shared" si="17"/>
        <v>358</v>
      </c>
      <c r="B360" s="1">
        <f>PMT(CFs!$B$7/12,CFs!$B$8,CFs!$B$6)</f>
        <v>-3698.1734523520558</v>
      </c>
      <c r="C360" s="2">
        <f>-E359*CFs!$B$7/12</f>
        <v>-72.988138448892428</v>
      </c>
      <c r="D360" s="1">
        <f t="shared" si="15"/>
        <v>-3625.1853139031632</v>
      </c>
      <c r="E360" s="1">
        <f t="shared" si="16"/>
        <v>7323.0354534307007</v>
      </c>
    </row>
    <row r="361" spans="1:5">
      <c r="A361" s="120">
        <f t="shared" si="17"/>
        <v>359</v>
      </c>
      <c r="B361" s="1">
        <f>PMT(CFs!$B$7/12,CFs!$B$8,CFs!$B$6)</f>
        <v>-3698.1734523520558</v>
      </c>
      <c r="C361" s="2">
        <f>-E360*CFs!$B$7/12</f>
        <v>-48.820236356204674</v>
      </c>
      <c r="D361" s="1">
        <f t="shared" si="15"/>
        <v>-3649.3532159958513</v>
      </c>
      <c r="E361" s="1">
        <f t="shared" si="16"/>
        <v>3673.6822374348494</v>
      </c>
    </row>
    <row r="362" spans="1:5">
      <c r="A362" s="120">
        <f t="shared" si="17"/>
        <v>360</v>
      </c>
      <c r="B362" s="1">
        <f>PMT(CFs!$B$7/12,CFs!$B$8,CFs!$B$6)</f>
        <v>-3698.1734523520558</v>
      </c>
      <c r="C362" s="2">
        <f>-E361*CFs!$B$7/12</f>
        <v>-24.491214916232327</v>
      </c>
      <c r="D362" s="1">
        <f t="shared" si="15"/>
        <v>-3673.6822374358235</v>
      </c>
      <c r="E362" s="1">
        <f t="shared" si="16"/>
        <v>-9.7406882559880614E-10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abSelected="1" topLeftCell="B11" zoomScale="89" zoomScaleNormal="89" zoomScalePageLayoutView="89" workbookViewId="0">
      <selection activeCell="F11" sqref="F11"/>
    </sheetView>
  </sheetViews>
  <sheetFormatPr baseColWidth="10" defaultColWidth="8.83203125" defaultRowHeight="14" x14ac:dyDescent="0"/>
  <cols>
    <col min="2" max="2" width="31" customWidth="1"/>
    <col min="3" max="7" width="18.1640625" customWidth="1"/>
    <col min="8" max="8" width="16.6640625" customWidth="1"/>
    <col min="10" max="10" width="9.83203125" bestFit="1" customWidth="1"/>
    <col min="258" max="258" width="31" customWidth="1"/>
    <col min="259" max="259" width="10.6640625" bestFit="1" customWidth="1"/>
    <col min="260" max="260" width="12.5" bestFit="1" customWidth="1"/>
    <col min="261" max="261" width="18.6640625" customWidth="1"/>
    <col min="264" max="264" width="10.5" customWidth="1"/>
    <col min="514" max="514" width="31" customWidth="1"/>
    <col min="515" max="515" width="10.6640625" bestFit="1" customWidth="1"/>
    <col min="516" max="516" width="12.5" bestFit="1" customWidth="1"/>
    <col min="517" max="517" width="18.6640625" customWidth="1"/>
    <col min="520" max="520" width="10.5" customWidth="1"/>
    <col min="770" max="770" width="31" customWidth="1"/>
    <col min="771" max="771" width="10.6640625" bestFit="1" customWidth="1"/>
    <col min="772" max="772" width="12.5" bestFit="1" customWidth="1"/>
    <col min="773" max="773" width="18.6640625" customWidth="1"/>
    <col min="776" max="776" width="10.5" customWidth="1"/>
    <col min="1026" max="1026" width="31" customWidth="1"/>
    <col min="1027" max="1027" width="10.6640625" bestFit="1" customWidth="1"/>
    <col min="1028" max="1028" width="12.5" bestFit="1" customWidth="1"/>
    <col min="1029" max="1029" width="18.6640625" customWidth="1"/>
    <col min="1032" max="1032" width="10.5" customWidth="1"/>
    <col min="1282" max="1282" width="31" customWidth="1"/>
    <col min="1283" max="1283" width="10.6640625" bestFit="1" customWidth="1"/>
    <col min="1284" max="1284" width="12.5" bestFit="1" customWidth="1"/>
    <col min="1285" max="1285" width="18.6640625" customWidth="1"/>
    <col min="1288" max="1288" width="10.5" customWidth="1"/>
    <col min="1538" max="1538" width="31" customWidth="1"/>
    <col min="1539" max="1539" width="10.6640625" bestFit="1" customWidth="1"/>
    <col min="1540" max="1540" width="12.5" bestFit="1" customWidth="1"/>
    <col min="1541" max="1541" width="18.6640625" customWidth="1"/>
    <col min="1544" max="1544" width="10.5" customWidth="1"/>
    <col min="1794" max="1794" width="31" customWidth="1"/>
    <col min="1795" max="1795" width="10.6640625" bestFit="1" customWidth="1"/>
    <col min="1796" max="1796" width="12.5" bestFit="1" customWidth="1"/>
    <col min="1797" max="1797" width="18.6640625" customWidth="1"/>
    <col min="1800" max="1800" width="10.5" customWidth="1"/>
    <col min="2050" max="2050" width="31" customWidth="1"/>
    <col min="2051" max="2051" width="10.6640625" bestFit="1" customWidth="1"/>
    <col min="2052" max="2052" width="12.5" bestFit="1" customWidth="1"/>
    <col min="2053" max="2053" width="18.6640625" customWidth="1"/>
    <col min="2056" max="2056" width="10.5" customWidth="1"/>
    <col min="2306" max="2306" width="31" customWidth="1"/>
    <col min="2307" max="2307" width="10.6640625" bestFit="1" customWidth="1"/>
    <col min="2308" max="2308" width="12.5" bestFit="1" customWidth="1"/>
    <col min="2309" max="2309" width="18.6640625" customWidth="1"/>
    <col min="2312" max="2312" width="10.5" customWidth="1"/>
    <col min="2562" max="2562" width="31" customWidth="1"/>
    <col min="2563" max="2563" width="10.6640625" bestFit="1" customWidth="1"/>
    <col min="2564" max="2564" width="12.5" bestFit="1" customWidth="1"/>
    <col min="2565" max="2565" width="18.6640625" customWidth="1"/>
    <col min="2568" max="2568" width="10.5" customWidth="1"/>
    <col min="2818" max="2818" width="31" customWidth="1"/>
    <col min="2819" max="2819" width="10.6640625" bestFit="1" customWidth="1"/>
    <col min="2820" max="2820" width="12.5" bestFit="1" customWidth="1"/>
    <col min="2821" max="2821" width="18.6640625" customWidth="1"/>
    <col min="2824" max="2824" width="10.5" customWidth="1"/>
    <col min="3074" max="3074" width="31" customWidth="1"/>
    <col min="3075" max="3075" width="10.6640625" bestFit="1" customWidth="1"/>
    <col min="3076" max="3076" width="12.5" bestFit="1" customWidth="1"/>
    <col min="3077" max="3077" width="18.6640625" customWidth="1"/>
    <col min="3080" max="3080" width="10.5" customWidth="1"/>
    <col min="3330" max="3330" width="31" customWidth="1"/>
    <col min="3331" max="3331" width="10.6640625" bestFit="1" customWidth="1"/>
    <col min="3332" max="3332" width="12.5" bestFit="1" customWidth="1"/>
    <col min="3333" max="3333" width="18.6640625" customWidth="1"/>
    <col min="3336" max="3336" width="10.5" customWidth="1"/>
    <col min="3586" max="3586" width="31" customWidth="1"/>
    <col min="3587" max="3587" width="10.6640625" bestFit="1" customWidth="1"/>
    <col min="3588" max="3588" width="12.5" bestFit="1" customWidth="1"/>
    <col min="3589" max="3589" width="18.6640625" customWidth="1"/>
    <col min="3592" max="3592" width="10.5" customWidth="1"/>
    <col min="3842" max="3842" width="31" customWidth="1"/>
    <col min="3843" max="3843" width="10.6640625" bestFit="1" customWidth="1"/>
    <col min="3844" max="3844" width="12.5" bestFit="1" customWidth="1"/>
    <col min="3845" max="3845" width="18.6640625" customWidth="1"/>
    <col min="3848" max="3848" width="10.5" customWidth="1"/>
    <col min="4098" max="4098" width="31" customWidth="1"/>
    <col min="4099" max="4099" width="10.6640625" bestFit="1" customWidth="1"/>
    <col min="4100" max="4100" width="12.5" bestFit="1" customWidth="1"/>
    <col min="4101" max="4101" width="18.6640625" customWidth="1"/>
    <col min="4104" max="4104" width="10.5" customWidth="1"/>
    <col min="4354" max="4354" width="31" customWidth="1"/>
    <col min="4355" max="4355" width="10.6640625" bestFit="1" customWidth="1"/>
    <col min="4356" max="4356" width="12.5" bestFit="1" customWidth="1"/>
    <col min="4357" max="4357" width="18.6640625" customWidth="1"/>
    <col min="4360" max="4360" width="10.5" customWidth="1"/>
    <col min="4610" max="4610" width="31" customWidth="1"/>
    <col min="4611" max="4611" width="10.6640625" bestFit="1" customWidth="1"/>
    <col min="4612" max="4612" width="12.5" bestFit="1" customWidth="1"/>
    <col min="4613" max="4613" width="18.6640625" customWidth="1"/>
    <col min="4616" max="4616" width="10.5" customWidth="1"/>
    <col min="4866" max="4866" width="31" customWidth="1"/>
    <col min="4867" max="4867" width="10.6640625" bestFit="1" customWidth="1"/>
    <col min="4868" max="4868" width="12.5" bestFit="1" customWidth="1"/>
    <col min="4869" max="4869" width="18.6640625" customWidth="1"/>
    <col min="4872" max="4872" width="10.5" customWidth="1"/>
    <col min="5122" max="5122" width="31" customWidth="1"/>
    <col min="5123" max="5123" width="10.6640625" bestFit="1" customWidth="1"/>
    <col min="5124" max="5124" width="12.5" bestFit="1" customWidth="1"/>
    <col min="5125" max="5125" width="18.6640625" customWidth="1"/>
    <col min="5128" max="5128" width="10.5" customWidth="1"/>
    <col min="5378" max="5378" width="31" customWidth="1"/>
    <col min="5379" max="5379" width="10.6640625" bestFit="1" customWidth="1"/>
    <col min="5380" max="5380" width="12.5" bestFit="1" customWidth="1"/>
    <col min="5381" max="5381" width="18.6640625" customWidth="1"/>
    <col min="5384" max="5384" width="10.5" customWidth="1"/>
    <col min="5634" max="5634" width="31" customWidth="1"/>
    <col min="5635" max="5635" width="10.6640625" bestFit="1" customWidth="1"/>
    <col min="5636" max="5636" width="12.5" bestFit="1" customWidth="1"/>
    <col min="5637" max="5637" width="18.6640625" customWidth="1"/>
    <col min="5640" max="5640" width="10.5" customWidth="1"/>
    <col min="5890" max="5890" width="31" customWidth="1"/>
    <col min="5891" max="5891" width="10.6640625" bestFit="1" customWidth="1"/>
    <col min="5892" max="5892" width="12.5" bestFit="1" customWidth="1"/>
    <col min="5893" max="5893" width="18.6640625" customWidth="1"/>
    <col min="5896" max="5896" width="10.5" customWidth="1"/>
    <col min="6146" max="6146" width="31" customWidth="1"/>
    <col min="6147" max="6147" width="10.6640625" bestFit="1" customWidth="1"/>
    <col min="6148" max="6148" width="12.5" bestFit="1" customWidth="1"/>
    <col min="6149" max="6149" width="18.6640625" customWidth="1"/>
    <col min="6152" max="6152" width="10.5" customWidth="1"/>
    <col min="6402" max="6402" width="31" customWidth="1"/>
    <col min="6403" max="6403" width="10.6640625" bestFit="1" customWidth="1"/>
    <col min="6404" max="6404" width="12.5" bestFit="1" customWidth="1"/>
    <col min="6405" max="6405" width="18.6640625" customWidth="1"/>
    <col min="6408" max="6408" width="10.5" customWidth="1"/>
    <col min="6658" max="6658" width="31" customWidth="1"/>
    <col min="6659" max="6659" width="10.6640625" bestFit="1" customWidth="1"/>
    <col min="6660" max="6660" width="12.5" bestFit="1" customWidth="1"/>
    <col min="6661" max="6661" width="18.6640625" customWidth="1"/>
    <col min="6664" max="6664" width="10.5" customWidth="1"/>
    <col min="6914" max="6914" width="31" customWidth="1"/>
    <col min="6915" max="6915" width="10.6640625" bestFit="1" customWidth="1"/>
    <col min="6916" max="6916" width="12.5" bestFit="1" customWidth="1"/>
    <col min="6917" max="6917" width="18.6640625" customWidth="1"/>
    <col min="6920" max="6920" width="10.5" customWidth="1"/>
    <col min="7170" max="7170" width="31" customWidth="1"/>
    <col min="7171" max="7171" width="10.6640625" bestFit="1" customWidth="1"/>
    <col min="7172" max="7172" width="12.5" bestFit="1" customWidth="1"/>
    <col min="7173" max="7173" width="18.6640625" customWidth="1"/>
    <col min="7176" max="7176" width="10.5" customWidth="1"/>
    <col min="7426" max="7426" width="31" customWidth="1"/>
    <col min="7427" max="7427" width="10.6640625" bestFit="1" customWidth="1"/>
    <col min="7428" max="7428" width="12.5" bestFit="1" customWidth="1"/>
    <col min="7429" max="7429" width="18.6640625" customWidth="1"/>
    <col min="7432" max="7432" width="10.5" customWidth="1"/>
    <col min="7682" max="7682" width="31" customWidth="1"/>
    <col min="7683" max="7683" width="10.6640625" bestFit="1" customWidth="1"/>
    <col min="7684" max="7684" width="12.5" bestFit="1" customWidth="1"/>
    <col min="7685" max="7685" width="18.6640625" customWidth="1"/>
    <col min="7688" max="7688" width="10.5" customWidth="1"/>
    <col min="7938" max="7938" width="31" customWidth="1"/>
    <col min="7939" max="7939" width="10.6640625" bestFit="1" customWidth="1"/>
    <col min="7940" max="7940" width="12.5" bestFit="1" customWidth="1"/>
    <col min="7941" max="7941" width="18.6640625" customWidth="1"/>
    <col min="7944" max="7944" width="10.5" customWidth="1"/>
    <col min="8194" max="8194" width="31" customWidth="1"/>
    <col min="8195" max="8195" width="10.6640625" bestFit="1" customWidth="1"/>
    <col min="8196" max="8196" width="12.5" bestFit="1" customWidth="1"/>
    <col min="8197" max="8197" width="18.6640625" customWidth="1"/>
    <col min="8200" max="8200" width="10.5" customWidth="1"/>
    <col min="8450" max="8450" width="31" customWidth="1"/>
    <col min="8451" max="8451" width="10.6640625" bestFit="1" customWidth="1"/>
    <col min="8452" max="8452" width="12.5" bestFit="1" customWidth="1"/>
    <col min="8453" max="8453" width="18.6640625" customWidth="1"/>
    <col min="8456" max="8456" width="10.5" customWidth="1"/>
    <col min="8706" max="8706" width="31" customWidth="1"/>
    <col min="8707" max="8707" width="10.6640625" bestFit="1" customWidth="1"/>
    <col min="8708" max="8708" width="12.5" bestFit="1" customWidth="1"/>
    <col min="8709" max="8709" width="18.6640625" customWidth="1"/>
    <col min="8712" max="8712" width="10.5" customWidth="1"/>
    <col min="8962" max="8962" width="31" customWidth="1"/>
    <col min="8963" max="8963" width="10.6640625" bestFit="1" customWidth="1"/>
    <col min="8964" max="8964" width="12.5" bestFit="1" customWidth="1"/>
    <col min="8965" max="8965" width="18.6640625" customWidth="1"/>
    <col min="8968" max="8968" width="10.5" customWidth="1"/>
    <col min="9218" max="9218" width="31" customWidth="1"/>
    <col min="9219" max="9219" width="10.6640625" bestFit="1" customWidth="1"/>
    <col min="9220" max="9220" width="12.5" bestFit="1" customWidth="1"/>
    <col min="9221" max="9221" width="18.6640625" customWidth="1"/>
    <col min="9224" max="9224" width="10.5" customWidth="1"/>
    <col min="9474" max="9474" width="31" customWidth="1"/>
    <col min="9475" max="9475" width="10.6640625" bestFit="1" customWidth="1"/>
    <col min="9476" max="9476" width="12.5" bestFit="1" customWidth="1"/>
    <col min="9477" max="9477" width="18.6640625" customWidth="1"/>
    <col min="9480" max="9480" width="10.5" customWidth="1"/>
    <col min="9730" max="9730" width="31" customWidth="1"/>
    <col min="9731" max="9731" width="10.6640625" bestFit="1" customWidth="1"/>
    <col min="9732" max="9732" width="12.5" bestFit="1" customWidth="1"/>
    <col min="9733" max="9733" width="18.6640625" customWidth="1"/>
    <col min="9736" max="9736" width="10.5" customWidth="1"/>
    <col min="9986" max="9986" width="31" customWidth="1"/>
    <col min="9987" max="9987" width="10.6640625" bestFit="1" customWidth="1"/>
    <col min="9988" max="9988" width="12.5" bestFit="1" customWidth="1"/>
    <col min="9989" max="9989" width="18.6640625" customWidth="1"/>
    <col min="9992" max="9992" width="10.5" customWidth="1"/>
    <col min="10242" max="10242" width="31" customWidth="1"/>
    <col min="10243" max="10243" width="10.6640625" bestFit="1" customWidth="1"/>
    <col min="10244" max="10244" width="12.5" bestFit="1" customWidth="1"/>
    <col min="10245" max="10245" width="18.6640625" customWidth="1"/>
    <col min="10248" max="10248" width="10.5" customWidth="1"/>
    <col min="10498" max="10498" width="31" customWidth="1"/>
    <col min="10499" max="10499" width="10.6640625" bestFit="1" customWidth="1"/>
    <col min="10500" max="10500" width="12.5" bestFit="1" customWidth="1"/>
    <col min="10501" max="10501" width="18.6640625" customWidth="1"/>
    <col min="10504" max="10504" width="10.5" customWidth="1"/>
    <col min="10754" max="10754" width="31" customWidth="1"/>
    <col min="10755" max="10755" width="10.6640625" bestFit="1" customWidth="1"/>
    <col min="10756" max="10756" width="12.5" bestFit="1" customWidth="1"/>
    <col min="10757" max="10757" width="18.6640625" customWidth="1"/>
    <col min="10760" max="10760" width="10.5" customWidth="1"/>
    <col min="11010" max="11010" width="31" customWidth="1"/>
    <col min="11011" max="11011" width="10.6640625" bestFit="1" customWidth="1"/>
    <col min="11012" max="11012" width="12.5" bestFit="1" customWidth="1"/>
    <col min="11013" max="11013" width="18.6640625" customWidth="1"/>
    <col min="11016" max="11016" width="10.5" customWidth="1"/>
    <col min="11266" max="11266" width="31" customWidth="1"/>
    <col min="11267" max="11267" width="10.6640625" bestFit="1" customWidth="1"/>
    <col min="11268" max="11268" width="12.5" bestFit="1" customWidth="1"/>
    <col min="11269" max="11269" width="18.6640625" customWidth="1"/>
    <col min="11272" max="11272" width="10.5" customWidth="1"/>
    <col min="11522" max="11522" width="31" customWidth="1"/>
    <col min="11523" max="11523" width="10.6640625" bestFit="1" customWidth="1"/>
    <col min="11524" max="11524" width="12.5" bestFit="1" customWidth="1"/>
    <col min="11525" max="11525" width="18.6640625" customWidth="1"/>
    <col min="11528" max="11528" width="10.5" customWidth="1"/>
    <col min="11778" max="11778" width="31" customWidth="1"/>
    <col min="11779" max="11779" width="10.6640625" bestFit="1" customWidth="1"/>
    <col min="11780" max="11780" width="12.5" bestFit="1" customWidth="1"/>
    <col min="11781" max="11781" width="18.6640625" customWidth="1"/>
    <col min="11784" max="11784" width="10.5" customWidth="1"/>
    <col min="12034" max="12034" width="31" customWidth="1"/>
    <col min="12035" max="12035" width="10.6640625" bestFit="1" customWidth="1"/>
    <col min="12036" max="12036" width="12.5" bestFit="1" customWidth="1"/>
    <col min="12037" max="12037" width="18.6640625" customWidth="1"/>
    <col min="12040" max="12040" width="10.5" customWidth="1"/>
    <col min="12290" max="12290" width="31" customWidth="1"/>
    <col min="12291" max="12291" width="10.6640625" bestFit="1" customWidth="1"/>
    <col min="12292" max="12292" width="12.5" bestFit="1" customWidth="1"/>
    <col min="12293" max="12293" width="18.6640625" customWidth="1"/>
    <col min="12296" max="12296" width="10.5" customWidth="1"/>
    <col min="12546" max="12546" width="31" customWidth="1"/>
    <col min="12547" max="12547" width="10.6640625" bestFit="1" customWidth="1"/>
    <col min="12548" max="12548" width="12.5" bestFit="1" customWidth="1"/>
    <col min="12549" max="12549" width="18.6640625" customWidth="1"/>
    <col min="12552" max="12552" width="10.5" customWidth="1"/>
    <col min="12802" max="12802" width="31" customWidth="1"/>
    <col min="12803" max="12803" width="10.6640625" bestFit="1" customWidth="1"/>
    <col min="12804" max="12804" width="12.5" bestFit="1" customWidth="1"/>
    <col min="12805" max="12805" width="18.6640625" customWidth="1"/>
    <col min="12808" max="12808" width="10.5" customWidth="1"/>
    <col min="13058" max="13058" width="31" customWidth="1"/>
    <col min="13059" max="13059" width="10.6640625" bestFit="1" customWidth="1"/>
    <col min="13060" max="13060" width="12.5" bestFit="1" customWidth="1"/>
    <col min="13061" max="13061" width="18.6640625" customWidth="1"/>
    <col min="13064" max="13064" width="10.5" customWidth="1"/>
    <col min="13314" max="13314" width="31" customWidth="1"/>
    <col min="13315" max="13315" width="10.6640625" bestFit="1" customWidth="1"/>
    <col min="13316" max="13316" width="12.5" bestFit="1" customWidth="1"/>
    <col min="13317" max="13317" width="18.6640625" customWidth="1"/>
    <col min="13320" max="13320" width="10.5" customWidth="1"/>
    <col min="13570" max="13570" width="31" customWidth="1"/>
    <col min="13571" max="13571" width="10.6640625" bestFit="1" customWidth="1"/>
    <col min="13572" max="13572" width="12.5" bestFit="1" customWidth="1"/>
    <col min="13573" max="13573" width="18.6640625" customWidth="1"/>
    <col min="13576" max="13576" width="10.5" customWidth="1"/>
    <col min="13826" max="13826" width="31" customWidth="1"/>
    <col min="13827" max="13827" width="10.6640625" bestFit="1" customWidth="1"/>
    <col min="13828" max="13828" width="12.5" bestFit="1" customWidth="1"/>
    <col min="13829" max="13829" width="18.6640625" customWidth="1"/>
    <col min="13832" max="13832" width="10.5" customWidth="1"/>
    <col min="14082" max="14082" width="31" customWidth="1"/>
    <col min="14083" max="14083" width="10.6640625" bestFit="1" customWidth="1"/>
    <col min="14084" max="14084" width="12.5" bestFit="1" customWidth="1"/>
    <col min="14085" max="14085" width="18.6640625" customWidth="1"/>
    <col min="14088" max="14088" width="10.5" customWidth="1"/>
    <col min="14338" max="14338" width="31" customWidth="1"/>
    <col min="14339" max="14339" width="10.6640625" bestFit="1" customWidth="1"/>
    <col min="14340" max="14340" width="12.5" bestFit="1" customWidth="1"/>
    <col min="14341" max="14341" width="18.6640625" customWidth="1"/>
    <col min="14344" max="14344" width="10.5" customWidth="1"/>
    <col min="14594" max="14594" width="31" customWidth="1"/>
    <col min="14595" max="14595" width="10.6640625" bestFit="1" customWidth="1"/>
    <col min="14596" max="14596" width="12.5" bestFit="1" customWidth="1"/>
    <col min="14597" max="14597" width="18.6640625" customWidth="1"/>
    <col min="14600" max="14600" width="10.5" customWidth="1"/>
    <col min="14850" max="14850" width="31" customWidth="1"/>
    <col min="14851" max="14851" width="10.6640625" bestFit="1" customWidth="1"/>
    <col min="14852" max="14852" width="12.5" bestFit="1" customWidth="1"/>
    <col min="14853" max="14853" width="18.6640625" customWidth="1"/>
    <col min="14856" max="14856" width="10.5" customWidth="1"/>
    <col min="15106" max="15106" width="31" customWidth="1"/>
    <col min="15107" max="15107" width="10.6640625" bestFit="1" customWidth="1"/>
    <col min="15108" max="15108" width="12.5" bestFit="1" customWidth="1"/>
    <col min="15109" max="15109" width="18.6640625" customWidth="1"/>
    <col min="15112" max="15112" width="10.5" customWidth="1"/>
    <col min="15362" max="15362" width="31" customWidth="1"/>
    <col min="15363" max="15363" width="10.6640625" bestFit="1" customWidth="1"/>
    <col min="15364" max="15364" width="12.5" bestFit="1" customWidth="1"/>
    <col min="15365" max="15365" width="18.6640625" customWidth="1"/>
    <col min="15368" max="15368" width="10.5" customWidth="1"/>
    <col min="15618" max="15618" width="31" customWidth="1"/>
    <col min="15619" max="15619" width="10.6640625" bestFit="1" customWidth="1"/>
    <col min="15620" max="15620" width="12.5" bestFit="1" customWidth="1"/>
    <col min="15621" max="15621" width="18.6640625" customWidth="1"/>
    <col min="15624" max="15624" width="10.5" customWidth="1"/>
    <col min="15874" max="15874" width="31" customWidth="1"/>
    <col min="15875" max="15875" width="10.6640625" bestFit="1" customWidth="1"/>
    <col min="15876" max="15876" width="12.5" bestFit="1" customWidth="1"/>
    <col min="15877" max="15877" width="18.6640625" customWidth="1"/>
    <col min="15880" max="15880" width="10.5" customWidth="1"/>
    <col min="16130" max="16130" width="31" customWidth="1"/>
    <col min="16131" max="16131" width="10.6640625" bestFit="1" customWidth="1"/>
    <col min="16132" max="16132" width="12.5" bestFit="1" customWidth="1"/>
    <col min="16133" max="16133" width="18.6640625" customWidth="1"/>
    <col min="16136" max="16136" width="10.5" customWidth="1"/>
  </cols>
  <sheetData>
    <row r="1" spans="1:9">
      <c r="D1" s="128" t="s">
        <v>131</v>
      </c>
      <c r="E1" s="129"/>
    </row>
    <row r="3" spans="1:9" ht="15" thickBot="1">
      <c r="A3" s="16"/>
      <c r="B3" s="100"/>
      <c r="C3" s="33"/>
      <c r="D3" s="33"/>
      <c r="E3" s="34"/>
      <c r="F3" s="34"/>
      <c r="G3" s="34"/>
      <c r="H3" s="34"/>
      <c r="I3" s="16"/>
    </row>
    <row r="4" spans="1:9" ht="15" thickBot="1">
      <c r="B4" s="138" t="s">
        <v>56</v>
      </c>
      <c r="C4" s="139"/>
      <c r="D4" s="139"/>
      <c r="E4" s="139"/>
      <c r="F4" s="139"/>
      <c r="G4" s="140"/>
      <c r="H4" s="34"/>
      <c r="I4" s="16"/>
    </row>
    <row r="5" spans="1:9" ht="15" thickBot="1">
      <c r="B5" s="36" t="s">
        <v>57</v>
      </c>
      <c r="C5" s="121">
        <v>100000</v>
      </c>
      <c r="D5" s="16"/>
      <c r="E5" s="106" t="s">
        <v>58</v>
      </c>
      <c r="F5" s="37"/>
      <c r="G5" s="38"/>
      <c r="H5" s="34"/>
      <c r="I5" s="16"/>
    </row>
    <row r="6" spans="1:9">
      <c r="B6" s="36" t="s">
        <v>59</v>
      </c>
      <c r="C6" s="121">
        <v>12000</v>
      </c>
      <c r="D6" s="16"/>
      <c r="E6" s="36" t="s">
        <v>60</v>
      </c>
      <c r="F6" s="121">
        <v>85000</v>
      </c>
      <c r="G6" s="39"/>
      <c r="H6" s="34"/>
      <c r="I6" s="16"/>
    </row>
    <row r="7" spans="1:9">
      <c r="B7" s="36" t="s">
        <v>61</v>
      </c>
      <c r="C7" s="122">
        <v>0</v>
      </c>
      <c r="D7" s="16"/>
      <c r="E7" s="36" t="s">
        <v>18</v>
      </c>
      <c r="F7" s="122">
        <v>31.5</v>
      </c>
      <c r="G7" s="39" t="s">
        <v>62</v>
      </c>
      <c r="H7" s="34"/>
      <c r="I7" s="16"/>
    </row>
    <row r="8" spans="1:9">
      <c r="B8" s="36" t="s">
        <v>63</v>
      </c>
      <c r="C8" s="122">
        <v>0.85</v>
      </c>
      <c r="D8" s="16"/>
      <c r="E8" s="36" t="s">
        <v>64</v>
      </c>
      <c r="F8" s="122">
        <v>0.28000000000000003</v>
      </c>
      <c r="G8" s="39"/>
      <c r="H8" s="34"/>
      <c r="I8" s="16"/>
    </row>
    <row r="9" spans="1:9">
      <c r="B9" s="36" t="s">
        <v>65</v>
      </c>
      <c r="C9" s="123">
        <v>0.10249999999999999</v>
      </c>
      <c r="D9" s="16"/>
      <c r="E9" s="36"/>
      <c r="F9" s="16"/>
      <c r="G9" s="39"/>
      <c r="H9" s="34"/>
      <c r="I9" s="16"/>
    </row>
    <row r="10" spans="1:9">
      <c r="B10" s="36" t="s">
        <v>66</v>
      </c>
      <c r="C10" s="123">
        <v>0.08</v>
      </c>
      <c r="D10" s="16"/>
      <c r="E10" s="36"/>
      <c r="F10" s="16"/>
      <c r="G10" s="39"/>
      <c r="H10" s="34"/>
      <c r="I10" s="16"/>
    </row>
    <row r="11" spans="1:9">
      <c r="B11" s="36" t="s">
        <v>67</v>
      </c>
      <c r="C11" s="122">
        <v>999</v>
      </c>
      <c r="D11" s="16" t="s">
        <v>62</v>
      </c>
      <c r="E11" s="36"/>
      <c r="F11" s="16"/>
      <c r="G11" s="39"/>
      <c r="H11" s="34"/>
      <c r="I11" s="16"/>
    </row>
    <row r="12" spans="1:9">
      <c r="B12" s="36" t="s">
        <v>68</v>
      </c>
      <c r="C12" s="122">
        <v>15</v>
      </c>
      <c r="D12" s="16" t="s">
        <v>62</v>
      </c>
      <c r="E12" s="36"/>
      <c r="F12" s="16"/>
      <c r="G12" s="39"/>
      <c r="H12" s="34"/>
      <c r="I12" s="16"/>
    </row>
    <row r="13" spans="1:9">
      <c r="B13" s="36" t="s">
        <v>69</v>
      </c>
      <c r="C13" s="122">
        <v>12</v>
      </c>
      <c r="D13" s="16"/>
      <c r="E13" s="36"/>
      <c r="F13" s="16"/>
      <c r="G13" s="39"/>
      <c r="H13" s="34"/>
      <c r="I13" s="16"/>
    </row>
    <row r="14" spans="1:9">
      <c r="B14" s="36" t="s">
        <v>70</v>
      </c>
      <c r="C14" s="122">
        <v>0.5</v>
      </c>
      <c r="D14" s="16" t="s">
        <v>71</v>
      </c>
      <c r="E14" s="36"/>
      <c r="F14" s="16"/>
      <c r="G14" s="39"/>
      <c r="H14" s="34"/>
      <c r="I14" s="16"/>
    </row>
    <row r="15" spans="1:9">
      <c r="B15" s="36" t="s">
        <v>72</v>
      </c>
      <c r="C15" s="121">
        <v>100000</v>
      </c>
      <c r="D15" s="16"/>
      <c r="E15" s="36"/>
      <c r="F15" s="16"/>
      <c r="G15" s="39"/>
      <c r="H15" s="34"/>
      <c r="I15" s="16"/>
    </row>
    <row r="16" spans="1:9">
      <c r="B16" s="36" t="s">
        <v>70</v>
      </c>
      <c r="C16" s="122">
        <v>0.45</v>
      </c>
      <c r="D16" s="16" t="s">
        <v>73</v>
      </c>
      <c r="E16" s="36"/>
      <c r="F16" s="16"/>
      <c r="G16" s="39"/>
      <c r="H16" s="34"/>
      <c r="I16" s="16"/>
    </row>
    <row r="17" spans="2:10">
      <c r="B17" s="36" t="s">
        <v>74</v>
      </c>
      <c r="C17" s="122">
        <v>0</v>
      </c>
      <c r="D17" s="16"/>
      <c r="E17" s="36"/>
      <c r="F17" s="16"/>
      <c r="G17" s="39"/>
      <c r="H17" s="34"/>
      <c r="I17" s="16"/>
    </row>
    <row r="18" spans="2:10">
      <c r="B18" s="36" t="s">
        <v>75</v>
      </c>
      <c r="C18" s="122">
        <v>0</v>
      </c>
      <c r="D18" s="16"/>
      <c r="E18" s="36"/>
      <c r="F18" s="16"/>
      <c r="G18" s="39"/>
      <c r="H18" s="34"/>
      <c r="I18" s="16"/>
    </row>
    <row r="19" spans="2:10">
      <c r="B19" s="36" t="s">
        <v>76</v>
      </c>
      <c r="C19" s="122">
        <v>0</v>
      </c>
      <c r="D19" s="16"/>
      <c r="E19" s="36"/>
      <c r="F19" s="16"/>
      <c r="G19" s="39"/>
      <c r="H19" s="34"/>
      <c r="I19" s="16"/>
    </row>
    <row r="20" spans="2:10">
      <c r="B20" s="36" t="s">
        <v>77</v>
      </c>
      <c r="C20" s="122">
        <v>5</v>
      </c>
      <c r="D20" s="16" t="s">
        <v>62</v>
      </c>
      <c r="E20" s="36"/>
      <c r="F20" s="16"/>
      <c r="G20" s="39"/>
      <c r="H20" s="34"/>
      <c r="I20" s="16"/>
    </row>
    <row r="21" spans="2:10" ht="15" thickBot="1">
      <c r="B21" s="40" t="s">
        <v>78</v>
      </c>
      <c r="C21" s="124">
        <v>0</v>
      </c>
      <c r="D21" s="41" t="s">
        <v>79</v>
      </c>
      <c r="E21" s="40"/>
      <c r="F21" s="41"/>
      <c r="G21" s="42"/>
      <c r="H21" s="34"/>
      <c r="I21" s="16"/>
    </row>
    <row r="22" spans="2:10" ht="15" thickBot="1">
      <c r="B22" s="32"/>
      <c r="C22" s="43"/>
      <c r="D22" s="34"/>
      <c r="E22" s="34"/>
      <c r="F22" s="34"/>
      <c r="G22" s="34"/>
      <c r="H22" s="34"/>
      <c r="I22" s="16"/>
    </row>
    <row r="23" spans="2:10">
      <c r="B23" s="44" t="s">
        <v>80</v>
      </c>
      <c r="C23" s="45">
        <f>IF(C17&gt;0,(1-C8)*F6,(1-C8)*C5)</f>
        <v>15000.000000000002</v>
      </c>
      <c r="D23" s="46"/>
      <c r="E23" s="47"/>
      <c r="F23" s="34"/>
      <c r="G23" s="34"/>
      <c r="H23" s="34"/>
      <c r="I23" s="16"/>
    </row>
    <row r="24" spans="2:10">
      <c r="B24" s="48" t="s">
        <v>81</v>
      </c>
      <c r="C24" s="97">
        <f>IF(C17&gt;0,F6*C8,C8*C5)</f>
        <v>85000</v>
      </c>
      <c r="D24" s="50"/>
      <c r="E24" s="51"/>
      <c r="F24" s="34"/>
      <c r="G24" s="34"/>
      <c r="H24" s="34"/>
      <c r="I24" s="16"/>
    </row>
    <row r="25" spans="2:10">
      <c r="B25" s="48" t="s">
        <v>82</v>
      </c>
      <c r="C25" s="97">
        <f>PMT(C9/C13,C11*C13,-C24)*C13</f>
        <v>8712.5</v>
      </c>
      <c r="D25" s="50"/>
      <c r="E25" s="51"/>
      <c r="F25" s="34"/>
      <c r="G25" s="34"/>
      <c r="H25" s="34"/>
      <c r="I25" s="16"/>
    </row>
    <row r="26" spans="2:10">
      <c r="B26" s="48" t="s">
        <v>83</v>
      </c>
      <c r="C26" s="97">
        <f>(PMT(C10/C13,C13*C11,-C24))*C13</f>
        <v>6800.0000000000009</v>
      </c>
      <c r="D26" s="50"/>
      <c r="E26" s="51"/>
      <c r="F26" s="34"/>
      <c r="G26" s="34"/>
      <c r="H26" s="34"/>
      <c r="I26" s="16"/>
    </row>
    <row r="27" spans="2:10" ht="15" thickBot="1">
      <c r="B27" s="52" t="s">
        <v>26</v>
      </c>
      <c r="C27" s="98">
        <f>IF(C9&lt;C10,(FV(C10/C13,C20*C13,C25/C13,-C24)),PV(C9/C13,(C11-C20)*C13,-(C25/C13)))</f>
        <v>85000</v>
      </c>
      <c r="D27" s="53" t="s">
        <v>84</v>
      </c>
      <c r="E27" s="54">
        <f>C20</f>
        <v>5</v>
      </c>
      <c r="F27" s="34"/>
      <c r="G27" s="34"/>
      <c r="H27" s="34"/>
      <c r="I27" s="16"/>
    </row>
    <row r="28" spans="2:10" ht="15" thickBot="1">
      <c r="B28" s="55"/>
      <c r="C28" s="34"/>
      <c r="D28" s="34"/>
      <c r="E28" s="34"/>
      <c r="F28" s="34"/>
      <c r="G28" s="34"/>
      <c r="H28" s="34"/>
      <c r="I28" s="16"/>
    </row>
    <row r="29" spans="2:10" ht="15" thickBot="1">
      <c r="B29" s="130" t="s">
        <v>85</v>
      </c>
      <c r="C29" s="131"/>
      <c r="D29" s="131"/>
      <c r="E29" s="131"/>
      <c r="F29" s="131"/>
      <c r="G29" s="132"/>
      <c r="H29" s="34"/>
      <c r="I29" s="16"/>
    </row>
    <row r="30" spans="2:10">
      <c r="B30" s="99" t="s">
        <v>86</v>
      </c>
      <c r="C30" s="118">
        <v>1</v>
      </c>
      <c r="D30" s="118">
        <f>(1+C30)</f>
        <v>2</v>
      </c>
      <c r="E30" s="118">
        <f>(1+D30)</f>
        <v>3</v>
      </c>
      <c r="F30" s="118">
        <f>(1+E30)</f>
        <v>4</v>
      </c>
      <c r="G30" s="119">
        <f>(1+F30)</f>
        <v>5</v>
      </c>
      <c r="H30" s="34"/>
      <c r="I30" s="16"/>
    </row>
    <row r="31" spans="2:10">
      <c r="B31" s="48" t="s">
        <v>87</v>
      </c>
      <c r="C31" s="49">
        <f>$C$25</f>
        <v>8712.5</v>
      </c>
      <c r="D31" s="49">
        <f>$C$25</f>
        <v>8712.5</v>
      </c>
      <c r="E31" s="49">
        <f>$C$25</f>
        <v>8712.5</v>
      </c>
      <c r="F31" s="49">
        <f>$C$25</f>
        <v>8712.5</v>
      </c>
      <c r="G31" s="56">
        <f>$C$25</f>
        <v>8712.5</v>
      </c>
      <c r="H31" s="50"/>
      <c r="I31" s="16"/>
      <c r="J31" s="1"/>
    </row>
    <row r="32" spans="2:10">
      <c r="B32" s="48" t="s">
        <v>26</v>
      </c>
      <c r="C32" s="49">
        <f>IF($C$9&lt;$C$10,FV($C$10/$C$13,C30*$C$13,$C$25/$C$13,-$C$24),IF($C$11&gt;C30-$C30+1,(($C25/$C$13)/PMT($C$9/($C$13),($C$11-(C30-$C30+1))*$C$13,-1)),0))</f>
        <v>85000</v>
      </c>
      <c r="D32" s="49">
        <f>IF($C$9&lt;$C$10,FV($C$10/$C$13,D30*$C$13,$C$25/$C$13,-$C$24),IF($C$11&gt;D30-$C30+1,(($C25/$C$13)/PMT($C$9/($C$13),($C$11-(D30-$C30+1))*$C$13,-1)),0))</f>
        <v>85000</v>
      </c>
      <c r="E32" s="49">
        <f>IF($C$9&lt;$C$10,FV($C$10/$C$13,E30*$C$13,$C$25/$C$13,-$C$24),IF($C$11&gt;E30-$C30+1,(($C25/$C$13)/PMT($C$9/($C$13),($C$11-(E30-$C30+1))*$C$13,-1)),0))</f>
        <v>85000</v>
      </c>
      <c r="F32" s="49">
        <f>IF($C$9&lt;$C$10,FV($C$10/$C$13,F30*$C$13,$C$25/$C$13,-$C$24),IF($C$11&gt;F30-$C30+1,(($C25/$C$13)/PMT($C$9/($C$13),($C$11-(F30-$C30+1))*$C$13,-1)),0))</f>
        <v>85000</v>
      </c>
      <c r="G32" s="56">
        <f>IF($C$9&lt;$C$10,FV($C$10/$C$13,G30*$C$13,$C$25/$C$13,-$C$24),IF($C$11&gt;G30-$C30+1,(($C25/$C$13)/PMT($C$9/($C$13),($C$11-(G30-$C30+1))*$C$13,-1)),0))</f>
        <v>85000</v>
      </c>
      <c r="H32" s="50"/>
      <c r="I32" s="16"/>
    </row>
    <row r="33" spans="2:9">
      <c r="B33" s="48" t="s">
        <v>88</v>
      </c>
      <c r="C33" s="49">
        <f>($C$25-(C24-C32))</f>
        <v>8712.5</v>
      </c>
      <c r="D33" s="49">
        <f>($C$25-(C32-D32))</f>
        <v>8712.5</v>
      </c>
      <c r="E33" s="49">
        <f>($C$25-(D32-E32))</f>
        <v>8712.5</v>
      </c>
      <c r="F33" s="49">
        <f>($C$25-(E32-F32))</f>
        <v>8712.5</v>
      </c>
      <c r="G33" s="56">
        <f>($C$25-(F32-G32))</f>
        <v>8712.5</v>
      </c>
      <c r="H33" s="50"/>
      <c r="I33" s="16"/>
    </row>
    <row r="34" spans="2:9" ht="15" thickBot="1">
      <c r="B34" s="52" t="s">
        <v>130</v>
      </c>
      <c r="C34" s="57">
        <f>C31-C33</f>
        <v>0</v>
      </c>
      <c r="D34" s="57">
        <f>D31-D33</f>
        <v>0</v>
      </c>
      <c r="E34" s="57">
        <f>E31-E33</f>
        <v>0</v>
      </c>
      <c r="F34" s="57">
        <f>F31-F33</f>
        <v>0</v>
      </c>
      <c r="G34" s="58">
        <f>G31-G33</f>
        <v>0</v>
      </c>
      <c r="H34" s="50"/>
      <c r="I34" s="16"/>
    </row>
    <row r="35" spans="2:9" ht="15" thickBot="1">
      <c r="B35" s="59"/>
      <c r="C35" s="49"/>
      <c r="D35" s="49"/>
      <c r="E35" s="49"/>
      <c r="F35" s="49"/>
      <c r="G35" s="49"/>
      <c r="H35" s="50"/>
      <c r="I35" s="16"/>
    </row>
    <row r="36" spans="2:9" ht="15" thickBot="1">
      <c r="B36" s="133" t="s">
        <v>89</v>
      </c>
      <c r="C36" s="134"/>
      <c r="D36" s="134"/>
      <c r="E36" s="134"/>
      <c r="F36" s="134"/>
      <c r="G36" s="135"/>
      <c r="H36" s="50"/>
      <c r="I36" s="16"/>
    </row>
    <row r="37" spans="2:9">
      <c r="B37" s="103" t="s">
        <v>90</v>
      </c>
      <c r="C37" s="104">
        <v>1</v>
      </c>
      <c r="D37" s="104">
        <v>2</v>
      </c>
      <c r="E37" s="104">
        <v>3</v>
      </c>
      <c r="F37" s="104">
        <v>4</v>
      </c>
      <c r="G37" s="105">
        <v>5</v>
      </c>
      <c r="H37" s="50"/>
      <c r="I37" s="16"/>
    </row>
    <row r="38" spans="2:9">
      <c r="B38" s="48" t="s">
        <v>0</v>
      </c>
      <c r="C38" s="49">
        <f>C6</f>
        <v>12000</v>
      </c>
      <c r="D38" s="49">
        <f>C38*(1+$C$7)</f>
        <v>12000</v>
      </c>
      <c r="E38" s="49">
        <f>D38*(1+$C$7)</f>
        <v>12000</v>
      </c>
      <c r="F38" s="49">
        <f>E38*(1+$C$7)</f>
        <v>12000</v>
      </c>
      <c r="G38" s="56">
        <f>F38*(1+$C$7)</f>
        <v>12000</v>
      </c>
      <c r="H38" s="50"/>
      <c r="I38" s="16"/>
    </row>
    <row r="39" spans="2:9">
      <c r="B39" s="48" t="s">
        <v>91</v>
      </c>
      <c r="C39" s="49">
        <f>$C$31</f>
        <v>8712.5</v>
      </c>
      <c r="D39" s="49">
        <f>$C$31</f>
        <v>8712.5</v>
      </c>
      <c r="E39" s="49">
        <f>$C$31</f>
        <v>8712.5</v>
      </c>
      <c r="F39" s="49">
        <f>$C$31</f>
        <v>8712.5</v>
      </c>
      <c r="G39" s="56">
        <f>$C$31</f>
        <v>8712.5</v>
      </c>
      <c r="H39" s="50"/>
      <c r="I39" s="16"/>
    </row>
    <row r="40" spans="2:9">
      <c r="B40" s="48" t="s">
        <v>92</v>
      </c>
      <c r="C40" s="49">
        <f>$C$17</f>
        <v>0</v>
      </c>
      <c r="D40" s="49">
        <f>$C$17</f>
        <v>0</v>
      </c>
      <c r="E40" s="49">
        <f>$C$17</f>
        <v>0</v>
      </c>
      <c r="F40" s="49">
        <f>$C$17</f>
        <v>0</v>
      </c>
      <c r="G40" s="56">
        <f>$C$17</f>
        <v>0</v>
      </c>
      <c r="H40" s="50"/>
      <c r="I40" s="16"/>
    </row>
    <row r="41" spans="2:9">
      <c r="B41" s="48" t="s">
        <v>93</v>
      </c>
      <c r="C41" s="49">
        <f>C38-C39-C40</f>
        <v>3287.5</v>
      </c>
      <c r="D41" s="49">
        <f>D38-D39-D40</f>
        <v>3287.5</v>
      </c>
      <c r="E41" s="49">
        <f>E38-E39-E40</f>
        <v>3287.5</v>
      </c>
      <c r="F41" s="49">
        <f>F38-F39-F40</f>
        <v>3287.5</v>
      </c>
      <c r="G41" s="56">
        <f>G38-G39-G40</f>
        <v>3287.5</v>
      </c>
      <c r="H41" s="50"/>
      <c r="I41" s="16"/>
    </row>
    <row r="42" spans="2:9">
      <c r="B42" s="48" t="s">
        <v>70</v>
      </c>
      <c r="C42" s="49">
        <f>IF(C38-$C$15&gt;0,$C$14*(C38-$C$15),0)</f>
        <v>0</v>
      </c>
      <c r="D42" s="49">
        <f>IF(D38-$C$15&gt;0,$C$14*(D38-$C$15),0)</f>
        <v>0</v>
      </c>
      <c r="E42" s="49">
        <f>IF(E38-$C$15&gt;0,$C$14*(E38-$C$15),0)</f>
        <v>0</v>
      </c>
      <c r="F42" s="49">
        <f>IF(F38-$C$15&gt;0,$C$14*(F38-$C$15),0)</f>
        <v>0</v>
      </c>
      <c r="G42" s="56">
        <f>IF(G38-$C$15&gt;0,$C$14*(G38-$C$15),0)</f>
        <v>0</v>
      </c>
      <c r="H42" s="34"/>
      <c r="I42" s="16"/>
    </row>
    <row r="43" spans="2:9" ht="15" thickBot="1">
      <c r="B43" s="101" t="s">
        <v>94</v>
      </c>
      <c r="C43" s="61">
        <f>C41-C42</f>
        <v>3287.5</v>
      </c>
      <c r="D43" s="61">
        <f>D41-D42</f>
        <v>3287.5</v>
      </c>
      <c r="E43" s="61">
        <f>E41-E42</f>
        <v>3287.5</v>
      </c>
      <c r="F43" s="61">
        <f>F41-F42</f>
        <v>3287.5</v>
      </c>
      <c r="G43" s="62">
        <f>G41-G42</f>
        <v>3287.5</v>
      </c>
      <c r="H43" s="34"/>
      <c r="I43" s="16"/>
    </row>
    <row r="44" spans="2:9" ht="15" thickTop="1">
      <c r="B44" s="55"/>
      <c r="C44" s="49"/>
      <c r="D44" s="49"/>
      <c r="E44" s="49"/>
      <c r="F44" s="49"/>
      <c r="G44" s="56"/>
      <c r="H44" s="34"/>
      <c r="I44" s="16"/>
    </row>
    <row r="45" spans="2:9">
      <c r="B45" s="48" t="s">
        <v>0</v>
      </c>
      <c r="C45" s="49">
        <f>C38</f>
        <v>12000</v>
      </c>
      <c r="D45" s="49">
        <f>D38</f>
        <v>12000</v>
      </c>
      <c r="E45" s="49">
        <f>E38</f>
        <v>12000</v>
      </c>
      <c r="F45" s="49">
        <f>F38</f>
        <v>12000</v>
      </c>
      <c r="G45" s="56">
        <f>G38</f>
        <v>12000</v>
      </c>
      <c r="H45" s="50"/>
      <c r="I45" s="16"/>
    </row>
    <row r="46" spans="2:9">
      <c r="B46" s="48" t="s">
        <v>95</v>
      </c>
      <c r="C46" s="49">
        <f>C33</f>
        <v>8712.5</v>
      </c>
      <c r="D46" s="49">
        <f>D33</f>
        <v>8712.5</v>
      </c>
      <c r="E46" s="49">
        <f>E33</f>
        <v>8712.5</v>
      </c>
      <c r="F46" s="49">
        <f>F33</f>
        <v>8712.5</v>
      </c>
      <c r="G46" s="56">
        <f>G33</f>
        <v>8712.5</v>
      </c>
      <c r="H46" s="50"/>
      <c r="I46" s="16"/>
    </row>
    <row r="47" spans="2:9">
      <c r="B47" s="48" t="s">
        <v>96</v>
      </c>
      <c r="C47" s="49">
        <f>$F$6/$F$7</f>
        <v>2698.4126984126983</v>
      </c>
      <c r="D47" s="49">
        <f>$F$6/$F$7</f>
        <v>2698.4126984126983</v>
      </c>
      <c r="E47" s="49">
        <f>$F$6/$F$7</f>
        <v>2698.4126984126983</v>
      </c>
      <c r="F47" s="49">
        <f>$F$6/$F$7</f>
        <v>2698.4126984126983</v>
      </c>
      <c r="G47" s="56">
        <f>$F$6/$F$7</f>
        <v>2698.4126984126983</v>
      </c>
      <c r="H47" s="50"/>
      <c r="I47" s="16"/>
    </row>
    <row r="48" spans="2:9">
      <c r="B48" s="48" t="s">
        <v>97</v>
      </c>
      <c r="C48" s="49">
        <f>C42</f>
        <v>0</v>
      </c>
      <c r="D48" s="49">
        <f>D42</f>
        <v>0</v>
      </c>
      <c r="E48" s="49">
        <f>E42</f>
        <v>0</v>
      </c>
      <c r="F48" s="49">
        <f>F42</f>
        <v>0</v>
      </c>
      <c r="G48" s="56">
        <f>G42</f>
        <v>0</v>
      </c>
      <c r="H48" s="34"/>
      <c r="I48" s="16"/>
    </row>
    <row r="49" spans="2:9">
      <c r="B49" s="48" t="s">
        <v>92</v>
      </c>
      <c r="C49" s="49">
        <f>$C$17</f>
        <v>0</v>
      </c>
      <c r="D49" s="49">
        <f>$C$17</f>
        <v>0</v>
      </c>
      <c r="E49" s="49">
        <f>$C$17</f>
        <v>0</v>
      </c>
      <c r="F49" s="49">
        <f>$C$17</f>
        <v>0</v>
      </c>
      <c r="G49" s="56">
        <f>$C$17</f>
        <v>0</v>
      </c>
      <c r="H49" s="34"/>
      <c r="I49" s="16"/>
    </row>
    <row r="50" spans="2:9">
      <c r="B50" s="48" t="s">
        <v>21</v>
      </c>
      <c r="C50" s="49">
        <f>C45-C46-C47-C48-C49</f>
        <v>589.08730158730168</v>
      </c>
      <c r="D50" s="49">
        <f>D45-D46-D47-D48-D49</f>
        <v>589.08730158730168</v>
      </c>
      <c r="E50" s="49">
        <f>E45-E46-E47-E48-E49</f>
        <v>589.08730158730168</v>
      </c>
      <c r="F50" s="49">
        <f>F45-F46-F47-F48-F49</f>
        <v>589.08730158730168</v>
      </c>
      <c r="G50" s="56">
        <f>G45-G46-G47-G48-G49</f>
        <v>589.08730158730168</v>
      </c>
      <c r="H50" s="50"/>
      <c r="I50" s="16"/>
    </row>
    <row r="51" spans="2:9">
      <c r="B51" s="48" t="s">
        <v>98</v>
      </c>
      <c r="C51" s="49">
        <f>C50*$F$8</f>
        <v>164.94444444444449</v>
      </c>
      <c r="D51" s="49">
        <f>D50*$F$8</f>
        <v>164.94444444444449</v>
      </c>
      <c r="E51" s="49">
        <f>E50*$F$8</f>
        <v>164.94444444444449</v>
      </c>
      <c r="F51" s="49">
        <f>F50*$F$8</f>
        <v>164.94444444444449</v>
      </c>
      <c r="G51" s="56">
        <f>G50*$F$8</f>
        <v>164.94444444444449</v>
      </c>
      <c r="H51" s="50"/>
      <c r="I51" s="16"/>
    </row>
    <row r="52" spans="2:9" ht="15" thickBot="1">
      <c r="B52" s="102" t="s">
        <v>99</v>
      </c>
      <c r="C52" s="64">
        <f>C43-C51</f>
        <v>3122.5555555555557</v>
      </c>
      <c r="D52" s="64">
        <f>D43-D51</f>
        <v>3122.5555555555557</v>
      </c>
      <c r="E52" s="64">
        <f>E43-E51</f>
        <v>3122.5555555555557</v>
      </c>
      <c r="F52" s="64">
        <f>F43-F51</f>
        <v>3122.5555555555557</v>
      </c>
      <c r="G52" s="65">
        <f>G43-G51</f>
        <v>3122.5555555555557</v>
      </c>
      <c r="H52" s="50"/>
      <c r="I52" s="16"/>
    </row>
    <row r="53" spans="2:9">
      <c r="B53" s="60"/>
      <c r="C53" s="66"/>
      <c r="D53" s="66"/>
      <c r="E53" s="66"/>
      <c r="F53" s="66"/>
      <c r="G53" s="66"/>
      <c r="H53" s="50"/>
      <c r="I53" s="16"/>
    </row>
    <row r="54" spans="2:9" ht="15" thickBot="1">
      <c r="B54" s="67"/>
      <c r="C54" s="68"/>
      <c r="D54" s="68"/>
      <c r="E54" s="68"/>
      <c r="F54" s="16"/>
      <c r="G54" s="16"/>
      <c r="H54" s="34"/>
      <c r="I54" s="16"/>
    </row>
    <row r="55" spans="2:9" ht="15" thickBot="1">
      <c r="B55" s="130" t="s">
        <v>100</v>
      </c>
      <c r="C55" s="136"/>
      <c r="D55" s="136"/>
      <c r="E55" s="137"/>
      <c r="F55" s="16"/>
      <c r="G55" s="16"/>
      <c r="H55" s="34"/>
      <c r="I55" s="16"/>
    </row>
    <row r="56" spans="2:9">
      <c r="B56" s="48" t="s">
        <v>101</v>
      </c>
      <c r="C56" s="69"/>
      <c r="D56" s="69"/>
      <c r="E56" s="56">
        <f>IF(C17&gt;0,(1-C19)*(F6*(1+C18)^C20),(1-C19)*(C5*(1+C18)^C20))</f>
        <v>100000</v>
      </c>
      <c r="F56" s="16"/>
      <c r="G56" s="16"/>
      <c r="H56" s="34"/>
      <c r="I56" s="16"/>
    </row>
    <row r="57" spans="2:9">
      <c r="B57" s="48" t="s">
        <v>102</v>
      </c>
      <c r="C57" s="69"/>
      <c r="D57" s="69"/>
      <c r="E57" s="56">
        <f>C21*E56</f>
        <v>0</v>
      </c>
      <c r="F57" s="49"/>
      <c r="G57" s="69"/>
      <c r="H57" s="34"/>
      <c r="I57" s="16"/>
    </row>
    <row r="58" spans="2:9">
      <c r="B58" s="48" t="s">
        <v>26</v>
      </c>
      <c r="C58" s="49"/>
      <c r="D58" s="69"/>
      <c r="E58" s="70">
        <f>IF(C19&gt;0,0,G32)</f>
        <v>85000</v>
      </c>
      <c r="F58" s="49"/>
      <c r="G58" s="69"/>
      <c r="H58" s="34"/>
      <c r="I58" s="16"/>
    </row>
    <row r="59" spans="2:9">
      <c r="B59" s="48" t="s">
        <v>93</v>
      </c>
      <c r="C59" s="49"/>
      <c r="D59" s="69"/>
      <c r="E59" s="56">
        <f>E56-E57-E58</f>
        <v>15000</v>
      </c>
      <c r="F59" s="49"/>
      <c r="G59" s="69"/>
      <c r="H59" s="34"/>
      <c r="I59" s="16"/>
    </row>
    <row r="60" spans="2:9">
      <c r="B60" s="48" t="s">
        <v>103</v>
      </c>
      <c r="C60" s="69"/>
      <c r="D60" s="69"/>
      <c r="E60" s="70">
        <f>IF((E56-E57-C5)&gt;0,(E56-E57-C5)*C16,0)</f>
        <v>0</v>
      </c>
      <c r="F60" s="69"/>
      <c r="G60" s="69"/>
      <c r="H60" s="34"/>
      <c r="I60" s="16"/>
    </row>
    <row r="61" spans="2:9">
      <c r="B61" s="48" t="s">
        <v>104</v>
      </c>
      <c r="C61" s="69"/>
      <c r="D61" s="69"/>
      <c r="E61" s="56">
        <f>E59-E60</f>
        <v>15000</v>
      </c>
      <c r="F61" s="69"/>
      <c r="G61" s="69"/>
      <c r="H61" s="34"/>
      <c r="I61" s="16"/>
    </row>
    <row r="62" spans="2:9">
      <c r="B62" s="55"/>
      <c r="C62" s="69"/>
      <c r="D62" s="69"/>
      <c r="E62" s="71"/>
      <c r="F62" s="69"/>
      <c r="G62" s="69"/>
      <c r="H62" s="34"/>
      <c r="I62" s="16"/>
    </row>
    <row r="63" spans="2:9">
      <c r="B63" s="48" t="s">
        <v>101</v>
      </c>
      <c r="C63" s="69"/>
      <c r="D63" s="69">
        <f>IF(C17&gt;0,F6*(1+C18)^C20,C5*(1+C18)^C20)</f>
        <v>100000</v>
      </c>
      <c r="E63" s="71"/>
      <c r="F63" s="69"/>
      <c r="G63" s="69"/>
      <c r="H63" s="34"/>
      <c r="I63" s="16"/>
    </row>
    <row r="64" spans="2:9">
      <c r="B64" s="48" t="s">
        <v>105</v>
      </c>
      <c r="C64" s="69"/>
      <c r="D64" s="69">
        <f>E57</f>
        <v>0</v>
      </c>
      <c r="E64" s="71"/>
      <c r="F64" s="69"/>
      <c r="G64" s="69"/>
      <c r="H64" s="34"/>
      <c r="I64" s="16"/>
    </row>
    <row r="65" spans="2:9">
      <c r="B65" s="48" t="s">
        <v>106</v>
      </c>
      <c r="C65" s="69"/>
      <c r="D65" s="69">
        <f>E60</f>
        <v>0</v>
      </c>
      <c r="E65" s="71"/>
      <c r="F65" s="69"/>
      <c r="G65" s="69"/>
      <c r="H65" s="34"/>
      <c r="I65" s="16"/>
    </row>
    <row r="66" spans="2:9">
      <c r="B66" s="55"/>
      <c r="C66" s="49"/>
      <c r="D66" s="49"/>
      <c r="E66" s="56"/>
      <c r="F66" s="49"/>
      <c r="G66" s="69"/>
      <c r="H66" s="34"/>
      <c r="I66" s="16"/>
    </row>
    <row r="67" spans="2:9">
      <c r="B67" s="48" t="s">
        <v>107</v>
      </c>
      <c r="C67" s="49">
        <f>IF(C17&gt;0,F6,C5)</f>
        <v>100000</v>
      </c>
      <c r="D67" s="49"/>
      <c r="E67" s="71"/>
      <c r="F67" s="69"/>
      <c r="G67" s="69"/>
      <c r="H67" s="34"/>
      <c r="I67" s="16"/>
    </row>
    <row r="68" spans="2:9">
      <c r="B68" s="48" t="s">
        <v>108</v>
      </c>
      <c r="C68" s="72">
        <f>C20*C47</f>
        <v>13492.063492063491</v>
      </c>
      <c r="D68" s="49"/>
      <c r="E68" s="71"/>
      <c r="F68" s="69"/>
      <c r="G68" s="69"/>
      <c r="H68" s="34"/>
      <c r="I68" s="16"/>
    </row>
    <row r="69" spans="2:9">
      <c r="B69" s="48" t="s">
        <v>109</v>
      </c>
      <c r="C69" s="69"/>
      <c r="D69" s="72">
        <f>C67-C68</f>
        <v>86507.936507936509</v>
      </c>
      <c r="E69" s="71"/>
      <c r="F69" s="69"/>
      <c r="G69" s="69"/>
      <c r="H69" s="34"/>
      <c r="I69" s="16"/>
    </row>
    <row r="70" spans="2:9">
      <c r="B70" s="55"/>
      <c r="C70" s="49"/>
      <c r="D70" s="49"/>
      <c r="E70" s="71"/>
      <c r="F70" s="69"/>
      <c r="G70" s="69"/>
      <c r="H70" s="34"/>
      <c r="I70" s="16"/>
    </row>
    <row r="71" spans="2:9">
      <c r="B71" s="48" t="s">
        <v>34</v>
      </c>
      <c r="C71" s="69"/>
      <c r="D71" s="49">
        <f>D63-D64-D65-D69</f>
        <v>13492.063492063491</v>
      </c>
      <c r="E71" s="71"/>
      <c r="F71" s="69"/>
      <c r="G71" s="69"/>
      <c r="H71" s="34"/>
      <c r="I71" s="16"/>
    </row>
    <row r="72" spans="2:9">
      <c r="B72" s="48" t="s">
        <v>110</v>
      </c>
      <c r="C72" s="49"/>
      <c r="D72" s="69"/>
      <c r="E72" s="70">
        <f>F8*D71</f>
        <v>3777.7777777777778</v>
      </c>
      <c r="F72" s="69"/>
      <c r="G72" s="69"/>
      <c r="H72" s="34"/>
      <c r="I72" s="16"/>
    </row>
    <row r="73" spans="2:9">
      <c r="B73" s="55"/>
      <c r="C73" s="49"/>
      <c r="D73" s="49"/>
      <c r="E73" s="71"/>
      <c r="F73" s="16"/>
      <c r="G73" s="16"/>
      <c r="H73" s="16"/>
      <c r="I73" s="16"/>
    </row>
    <row r="74" spans="2:9" ht="15" thickBot="1">
      <c r="B74" s="63" t="s">
        <v>111</v>
      </c>
      <c r="C74" s="73"/>
      <c r="D74" s="74"/>
      <c r="E74" s="75">
        <f>E61-E72</f>
        <v>11222.222222222223</v>
      </c>
      <c r="F74" s="16"/>
      <c r="G74" s="16"/>
      <c r="H74" s="16"/>
      <c r="I74" s="16"/>
    </row>
    <row r="75" spans="2:9" ht="15" thickBot="1">
      <c r="B75" s="55"/>
      <c r="C75" s="50"/>
      <c r="D75" s="50"/>
      <c r="E75" s="34"/>
      <c r="F75" s="16"/>
      <c r="G75" s="16"/>
      <c r="H75" s="16"/>
      <c r="I75" s="16"/>
    </row>
    <row r="76" spans="2:9" ht="15" thickBot="1">
      <c r="B76" s="133" t="s">
        <v>112</v>
      </c>
      <c r="C76" s="134"/>
      <c r="D76" s="134"/>
      <c r="E76" s="134"/>
      <c r="F76" s="134"/>
      <c r="G76" s="134"/>
      <c r="H76" s="135"/>
    </row>
    <row r="77" spans="2:9">
      <c r="B77" s="103" t="s">
        <v>90</v>
      </c>
      <c r="C77" s="104">
        <v>0</v>
      </c>
      <c r="D77" s="104">
        <v>1</v>
      </c>
      <c r="E77" s="104">
        <v>2</v>
      </c>
      <c r="F77" s="104">
        <v>3</v>
      </c>
      <c r="G77" s="104">
        <v>4</v>
      </c>
      <c r="H77" s="105">
        <v>5</v>
      </c>
    </row>
    <row r="78" spans="2:9" ht="15" thickBot="1">
      <c r="B78" s="48" t="s">
        <v>113</v>
      </c>
      <c r="C78" s="50">
        <f>-C23</f>
        <v>-15000.000000000002</v>
      </c>
      <c r="D78" s="49">
        <f>C43</f>
        <v>3287.5</v>
      </c>
      <c r="E78" s="49">
        <f>D43</f>
        <v>3287.5</v>
      </c>
      <c r="F78" s="49">
        <f>E43</f>
        <v>3287.5</v>
      </c>
      <c r="G78" s="49">
        <f>F43</f>
        <v>3287.5</v>
      </c>
      <c r="H78" s="56">
        <f>G43+E61</f>
        <v>18287.5</v>
      </c>
    </row>
    <row r="79" spans="2:9" ht="15" thickBot="1">
      <c r="B79" s="76" t="s">
        <v>114</v>
      </c>
      <c r="C79" s="107">
        <f>IRR(C78:H78,0.1)</f>
        <v>0.21916666666666673</v>
      </c>
      <c r="D79" s="50"/>
      <c r="E79" s="50"/>
      <c r="F79" s="50"/>
      <c r="G79" s="34"/>
      <c r="H79" s="35"/>
    </row>
    <row r="80" spans="2:9" ht="15" thickBot="1">
      <c r="B80" s="55"/>
      <c r="C80" s="34"/>
      <c r="D80" s="34"/>
      <c r="E80" s="34"/>
      <c r="F80" s="34"/>
      <c r="G80" s="34"/>
      <c r="H80" s="35"/>
    </row>
    <row r="81" spans="2:8">
      <c r="B81" s="103" t="s">
        <v>90</v>
      </c>
      <c r="C81" s="104">
        <v>0</v>
      </c>
      <c r="D81" s="104">
        <v>1</v>
      </c>
      <c r="E81" s="104">
        <v>2</v>
      </c>
      <c r="F81" s="104">
        <v>3</v>
      </c>
      <c r="G81" s="104">
        <v>4</v>
      </c>
      <c r="H81" s="105">
        <v>5</v>
      </c>
    </row>
    <row r="82" spans="2:8" ht="15" thickBot="1">
      <c r="B82" s="48" t="s">
        <v>27</v>
      </c>
      <c r="C82" s="50">
        <f>-C23</f>
        <v>-15000.000000000002</v>
      </c>
      <c r="D82" s="49">
        <f>C52</f>
        <v>3122.5555555555557</v>
      </c>
      <c r="E82" s="49">
        <f>D52</f>
        <v>3122.5555555555557</v>
      </c>
      <c r="F82" s="49">
        <f>E52</f>
        <v>3122.5555555555557</v>
      </c>
      <c r="G82" s="49">
        <f>F52</f>
        <v>3122.5555555555557</v>
      </c>
      <c r="H82" s="56">
        <f>G52+E74</f>
        <v>14344.777777777777</v>
      </c>
    </row>
    <row r="83" spans="2:8" ht="15" thickBot="1">
      <c r="B83" s="76" t="s">
        <v>115</v>
      </c>
      <c r="C83" s="107">
        <f>IRR(C82:H82,0.1)</f>
        <v>0.17243782050710976</v>
      </c>
      <c r="D83" s="50"/>
      <c r="E83" s="50"/>
      <c r="F83" s="50"/>
      <c r="G83" s="50"/>
      <c r="H83" s="51"/>
    </row>
    <row r="84" spans="2:8" ht="15" thickBot="1">
      <c r="B84" s="60" t="s">
        <v>116</v>
      </c>
      <c r="C84" s="107">
        <f>(C79-C83)/C79</f>
        <v>0.2132114653667998</v>
      </c>
      <c r="D84" s="34"/>
      <c r="E84" s="34"/>
      <c r="F84" s="34"/>
      <c r="G84" s="34"/>
      <c r="H84" s="35"/>
    </row>
    <row r="85" spans="2:8" ht="15" thickBot="1">
      <c r="B85" s="63"/>
      <c r="C85" s="77"/>
      <c r="D85" s="78"/>
      <c r="E85" s="78"/>
      <c r="F85" s="78"/>
      <c r="G85" s="78"/>
      <c r="H85" s="79"/>
    </row>
    <row r="86" spans="2:8" ht="15" thickBot="1">
      <c r="B86" s="32"/>
      <c r="C86" s="33"/>
      <c r="D86" s="34"/>
      <c r="E86" s="34"/>
      <c r="F86" s="34"/>
      <c r="G86" s="34"/>
      <c r="H86" s="35"/>
    </row>
    <row r="87" spans="2:8" ht="15" thickBot="1">
      <c r="B87" s="130" t="s">
        <v>117</v>
      </c>
      <c r="C87" s="131"/>
      <c r="D87" s="131"/>
      <c r="E87" s="131"/>
      <c r="F87" s="131"/>
      <c r="G87" s="131"/>
      <c r="H87" s="132"/>
    </row>
    <row r="88" spans="2:8">
      <c r="B88" s="103" t="s">
        <v>90</v>
      </c>
      <c r="C88" s="104">
        <v>0</v>
      </c>
      <c r="D88" s="104">
        <v>1</v>
      </c>
      <c r="E88" s="104">
        <v>2</v>
      </c>
      <c r="F88" s="104">
        <v>3</v>
      </c>
      <c r="G88" s="104">
        <v>4</v>
      </c>
      <c r="H88" s="105">
        <v>5</v>
      </c>
    </row>
    <row r="89" spans="2:8" ht="15" thickBot="1">
      <c r="B89" s="48" t="s">
        <v>0</v>
      </c>
      <c r="C89" s="50">
        <f>-C5</f>
        <v>-100000</v>
      </c>
      <c r="D89" s="49">
        <f>C38</f>
        <v>12000</v>
      </c>
      <c r="E89" s="49">
        <f>D38</f>
        <v>12000</v>
      </c>
      <c r="F89" s="49">
        <f>E38</f>
        <v>12000</v>
      </c>
      <c r="G89" s="49">
        <f>F38</f>
        <v>12000</v>
      </c>
      <c r="H89" s="56">
        <f>G38+E56-E57</f>
        <v>112000</v>
      </c>
    </row>
    <row r="90" spans="2:8" ht="15" thickBot="1">
      <c r="B90" s="76" t="s">
        <v>118</v>
      </c>
      <c r="C90" s="107">
        <f>IRR(C89:H89,0.1)</f>
        <v>0.11999999999999988</v>
      </c>
      <c r="D90" s="34"/>
      <c r="E90" s="34"/>
      <c r="F90" s="34"/>
      <c r="G90" s="34"/>
      <c r="H90" s="35"/>
    </row>
    <row r="91" spans="2:8" ht="15" thickBot="1">
      <c r="B91" s="55"/>
      <c r="C91" s="34"/>
      <c r="D91" s="34"/>
      <c r="E91" s="34"/>
      <c r="F91" s="34"/>
      <c r="G91" s="34"/>
      <c r="H91" s="35"/>
    </row>
    <row r="92" spans="2:8">
      <c r="B92" s="103" t="s">
        <v>90</v>
      </c>
      <c r="C92" s="104">
        <v>0</v>
      </c>
      <c r="D92" s="104">
        <v>1</v>
      </c>
      <c r="E92" s="104">
        <v>2</v>
      </c>
      <c r="F92" s="104">
        <v>3</v>
      </c>
      <c r="G92" s="104">
        <v>4</v>
      </c>
      <c r="H92" s="105">
        <v>5</v>
      </c>
    </row>
    <row r="93" spans="2:8" ht="15" thickBot="1">
      <c r="B93" s="48" t="s">
        <v>119</v>
      </c>
      <c r="C93" s="80">
        <f>-C5</f>
        <v>-100000</v>
      </c>
      <c r="D93" s="49">
        <f>C38-((C38-C47)*$F$8)</f>
        <v>9395.5555555555547</v>
      </c>
      <c r="E93" s="49">
        <f>D38-((D38-D47)*$F$8)</f>
        <v>9395.5555555555547</v>
      </c>
      <c r="F93" s="49">
        <f>E38-((E38-E47)*$F$8)</f>
        <v>9395.5555555555547</v>
      </c>
      <c r="G93" s="49">
        <f>F38-((F38-F47)*$F$8)</f>
        <v>9395.5555555555547</v>
      </c>
      <c r="H93" s="56">
        <f>G38-((G38-G47)*$F$8)+(E56-E57-E72)</f>
        <v>105617.77777777778</v>
      </c>
    </row>
    <row r="94" spans="2:8" ht="15" thickBot="1">
      <c r="B94" s="76" t="s">
        <v>120</v>
      </c>
      <c r="C94" s="107">
        <f>IRR(C93:H93,0.1)</f>
        <v>8.7613078450820447E-2</v>
      </c>
      <c r="D94" s="34"/>
      <c r="E94" s="34"/>
      <c r="F94" s="34"/>
      <c r="G94" s="34"/>
      <c r="H94" s="35"/>
    </row>
    <row r="95" spans="2:8" ht="15" thickBot="1">
      <c r="B95" s="81"/>
      <c r="C95" s="82"/>
      <c r="D95" s="78"/>
      <c r="E95" s="78"/>
      <c r="F95" s="78"/>
      <c r="G95" s="78"/>
      <c r="H95" s="79"/>
    </row>
    <row r="96" spans="2:8" ht="15" thickBot="1">
      <c r="B96" s="59"/>
      <c r="C96" s="34"/>
      <c r="D96" s="50"/>
      <c r="E96" s="50"/>
      <c r="F96" s="50"/>
      <c r="G96" s="50"/>
      <c r="H96" s="51"/>
    </row>
    <row r="97" spans="2:8" ht="15" thickBot="1">
      <c r="B97" s="130" t="s">
        <v>121</v>
      </c>
      <c r="C97" s="131"/>
      <c r="D97" s="131"/>
      <c r="E97" s="131"/>
      <c r="F97" s="131"/>
      <c r="G97" s="131"/>
      <c r="H97" s="132"/>
    </row>
    <row r="98" spans="2:8">
      <c r="B98" s="103" t="s">
        <v>90</v>
      </c>
      <c r="C98" s="104">
        <v>0</v>
      </c>
      <c r="D98" s="104">
        <v>1</v>
      </c>
      <c r="E98" s="104">
        <v>2</v>
      </c>
      <c r="F98" s="104">
        <v>3</v>
      </c>
      <c r="G98" s="104">
        <v>4</v>
      </c>
      <c r="H98" s="105">
        <v>5</v>
      </c>
    </row>
    <row r="99" spans="2:8">
      <c r="B99" s="59" t="s">
        <v>122</v>
      </c>
      <c r="C99" s="16"/>
      <c r="D99" s="83">
        <f>+C39</f>
        <v>8712.5</v>
      </c>
      <c r="E99" s="83">
        <f>+D39</f>
        <v>8712.5</v>
      </c>
      <c r="F99" s="83">
        <f>+E39</f>
        <v>8712.5</v>
      </c>
      <c r="G99" s="83">
        <f>+F39</f>
        <v>8712.5</v>
      </c>
      <c r="H99" s="84">
        <f>+G39</f>
        <v>8712.5</v>
      </c>
    </row>
    <row r="100" spans="2:8">
      <c r="B100" s="59" t="s">
        <v>123</v>
      </c>
      <c r="C100" s="34"/>
      <c r="D100" s="85"/>
      <c r="E100" s="85"/>
      <c r="F100" s="85"/>
      <c r="G100" s="85"/>
      <c r="H100" s="86">
        <f>+E58</f>
        <v>85000</v>
      </c>
    </row>
    <row r="101" spans="2:8">
      <c r="B101" s="59" t="s">
        <v>106</v>
      </c>
      <c r="C101" s="34"/>
      <c r="D101" s="85">
        <f>+C48</f>
        <v>0</v>
      </c>
      <c r="E101" s="85">
        <f>+D48</f>
        <v>0</v>
      </c>
      <c r="F101" s="85">
        <f>+E48</f>
        <v>0</v>
      </c>
      <c r="G101" s="85">
        <f>+F48</f>
        <v>0</v>
      </c>
      <c r="H101" s="86">
        <f>+G48+E60</f>
        <v>0</v>
      </c>
    </row>
    <row r="102" spans="2:8">
      <c r="B102" s="59" t="s">
        <v>124</v>
      </c>
      <c r="C102" s="34">
        <f>-C24</f>
        <v>-85000</v>
      </c>
      <c r="D102" s="85"/>
      <c r="E102" s="85"/>
      <c r="F102" s="85"/>
      <c r="G102" s="85"/>
      <c r="H102" s="86"/>
    </row>
    <row r="103" spans="2:8" ht="15" thickBot="1">
      <c r="B103" s="59" t="s">
        <v>125</v>
      </c>
      <c r="C103" s="34">
        <f t="shared" ref="C103:H103" si="0">+C99+C100+C101+C102</f>
        <v>-85000</v>
      </c>
      <c r="D103" s="85">
        <f t="shared" si="0"/>
        <v>8712.5</v>
      </c>
      <c r="E103" s="85">
        <f t="shared" si="0"/>
        <v>8712.5</v>
      </c>
      <c r="F103" s="85">
        <f t="shared" si="0"/>
        <v>8712.5</v>
      </c>
      <c r="G103" s="85">
        <f t="shared" si="0"/>
        <v>8712.5</v>
      </c>
      <c r="H103" s="86">
        <f t="shared" si="0"/>
        <v>93712.5</v>
      </c>
    </row>
    <row r="104" spans="2:8" ht="15" thickBot="1">
      <c r="B104" s="87" t="s">
        <v>126</v>
      </c>
      <c r="C104" s="107">
        <f>C171</f>
        <v>0.10249999999999737</v>
      </c>
      <c r="D104" s="88"/>
      <c r="E104" s="88"/>
      <c r="F104" s="88"/>
      <c r="G104" s="88"/>
      <c r="H104" s="89"/>
    </row>
    <row r="105" spans="2:8">
      <c r="B105" s="59"/>
      <c r="C105" s="34"/>
      <c r="D105" s="34"/>
      <c r="E105" s="34"/>
      <c r="F105" s="34"/>
      <c r="G105" s="34"/>
      <c r="H105" s="35"/>
    </row>
    <row r="106" spans="2:8" ht="15" thickBot="1">
      <c r="B106" s="59"/>
      <c r="C106" s="34"/>
      <c r="D106" s="34"/>
      <c r="E106" s="34"/>
      <c r="F106" s="34"/>
      <c r="G106" s="34"/>
      <c r="H106" s="35"/>
    </row>
    <row r="107" spans="2:8" ht="15" thickBot="1">
      <c r="B107" s="126" t="s">
        <v>127</v>
      </c>
      <c r="C107" s="127"/>
      <c r="D107" s="90"/>
      <c r="E107" s="90"/>
      <c r="F107" s="90"/>
      <c r="G107" s="90"/>
      <c r="H107" s="91"/>
    </row>
    <row r="108" spans="2:8">
      <c r="B108" s="108" t="s">
        <v>128</v>
      </c>
      <c r="C108" s="109" t="s">
        <v>129</v>
      </c>
      <c r="D108" s="92"/>
      <c r="E108" s="92"/>
      <c r="F108" s="92"/>
      <c r="G108" s="92"/>
      <c r="H108" s="91"/>
    </row>
    <row r="109" spans="2:8">
      <c r="B109" s="110">
        <v>0</v>
      </c>
      <c r="C109" s="111">
        <f>C102</f>
        <v>-85000</v>
      </c>
      <c r="D109" s="16"/>
      <c r="E109" s="16"/>
      <c r="F109" s="16"/>
      <c r="G109" s="16"/>
      <c r="H109" s="39"/>
    </row>
    <row r="110" spans="2:8">
      <c r="B110" s="110">
        <v>1</v>
      </c>
      <c r="C110" s="112">
        <f t="shared" ref="C110:C121" si="1">($D$103+$D$101)/12</f>
        <v>726.04166666666663</v>
      </c>
      <c r="D110" s="94"/>
      <c r="E110" s="95"/>
      <c r="F110" s="95"/>
      <c r="G110" s="95"/>
      <c r="H110" s="93"/>
    </row>
    <row r="111" spans="2:8">
      <c r="B111" s="110">
        <v>2</v>
      </c>
      <c r="C111" s="112">
        <f t="shared" si="1"/>
        <v>726.04166666666663</v>
      </c>
      <c r="D111" s="96"/>
      <c r="E111" s="95"/>
      <c r="F111" s="95"/>
      <c r="G111" s="95"/>
      <c r="H111" s="93"/>
    </row>
    <row r="112" spans="2:8">
      <c r="B112" s="110">
        <v>3</v>
      </c>
      <c r="C112" s="112">
        <f t="shared" si="1"/>
        <v>726.04166666666663</v>
      </c>
      <c r="D112" s="96"/>
      <c r="E112" s="95"/>
      <c r="F112" s="95"/>
      <c r="G112" s="95"/>
      <c r="H112" s="93"/>
    </row>
    <row r="113" spans="2:8">
      <c r="B113" s="110">
        <v>4</v>
      </c>
      <c r="C113" s="112">
        <f t="shared" si="1"/>
        <v>726.04166666666663</v>
      </c>
      <c r="D113" s="96"/>
      <c r="E113" s="95"/>
      <c r="F113" s="95"/>
      <c r="G113" s="95"/>
      <c r="H113" s="93"/>
    </row>
    <row r="114" spans="2:8">
      <c r="B114" s="110">
        <v>5</v>
      </c>
      <c r="C114" s="112">
        <f t="shared" si="1"/>
        <v>726.04166666666663</v>
      </c>
      <c r="D114" s="96"/>
      <c r="E114" s="95"/>
      <c r="F114" s="95"/>
      <c r="G114" s="95"/>
      <c r="H114" s="93"/>
    </row>
    <row r="115" spans="2:8">
      <c r="B115" s="110">
        <v>6</v>
      </c>
      <c r="C115" s="112">
        <f t="shared" si="1"/>
        <v>726.04166666666663</v>
      </c>
      <c r="D115" s="96"/>
      <c r="E115" s="95"/>
      <c r="F115" s="95"/>
      <c r="G115" s="95"/>
      <c r="H115" s="93"/>
    </row>
    <row r="116" spans="2:8">
      <c r="B116" s="110">
        <v>7</v>
      </c>
      <c r="C116" s="112">
        <f t="shared" si="1"/>
        <v>726.04166666666663</v>
      </c>
      <c r="D116" s="96"/>
      <c r="E116" s="95"/>
      <c r="F116" s="95"/>
      <c r="G116" s="95"/>
      <c r="H116" s="93"/>
    </row>
    <row r="117" spans="2:8">
      <c r="B117" s="110">
        <v>8</v>
      </c>
      <c r="C117" s="112">
        <f t="shared" si="1"/>
        <v>726.04166666666663</v>
      </c>
      <c r="D117" s="96"/>
      <c r="E117" s="95"/>
      <c r="F117" s="95"/>
      <c r="G117" s="95"/>
      <c r="H117" s="93"/>
    </row>
    <row r="118" spans="2:8">
      <c r="B118" s="110">
        <v>9</v>
      </c>
      <c r="C118" s="112">
        <f t="shared" si="1"/>
        <v>726.04166666666663</v>
      </c>
      <c r="D118" s="96"/>
      <c r="E118" s="95"/>
      <c r="F118" s="95"/>
      <c r="G118" s="95"/>
      <c r="H118" s="93"/>
    </row>
    <row r="119" spans="2:8">
      <c r="B119" s="110">
        <v>10</v>
      </c>
      <c r="C119" s="112">
        <f t="shared" si="1"/>
        <v>726.04166666666663</v>
      </c>
      <c r="D119" s="96"/>
      <c r="E119" s="95"/>
      <c r="F119" s="95"/>
      <c r="G119" s="95"/>
      <c r="H119" s="93"/>
    </row>
    <row r="120" spans="2:8">
      <c r="B120" s="110">
        <v>11</v>
      </c>
      <c r="C120" s="112">
        <f t="shared" si="1"/>
        <v>726.04166666666663</v>
      </c>
      <c r="D120" s="96"/>
      <c r="E120" s="95"/>
      <c r="F120" s="95"/>
      <c r="G120" s="95"/>
      <c r="H120" s="93"/>
    </row>
    <row r="121" spans="2:8">
      <c r="B121" s="110">
        <v>12</v>
      </c>
      <c r="C121" s="112">
        <f t="shared" si="1"/>
        <v>726.04166666666663</v>
      </c>
      <c r="D121" s="96"/>
      <c r="E121" s="95"/>
      <c r="F121" s="95"/>
      <c r="G121" s="95"/>
      <c r="H121" s="93"/>
    </row>
    <row r="122" spans="2:8">
      <c r="B122" s="110">
        <v>13</v>
      </c>
      <c r="C122" s="112">
        <f t="shared" ref="C122:C133" si="2">($D$103+$E$101)/12</f>
        <v>726.04166666666663</v>
      </c>
      <c r="D122" s="96"/>
      <c r="E122" s="95"/>
      <c r="F122" s="95"/>
      <c r="G122" s="95"/>
      <c r="H122" s="93"/>
    </row>
    <row r="123" spans="2:8">
      <c r="B123" s="110">
        <v>14</v>
      </c>
      <c r="C123" s="112">
        <f t="shared" si="2"/>
        <v>726.04166666666663</v>
      </c>
      <c r="D123" s="96"/>
      <c r="E123" s="95"/>
      <c r="F123" s="95"/>
      <c r="G123" s="95"/>
      <c r="H123" s="93"/>
    </row>
    <row r="124" spans="2:8">
      <c r="B124" s="110">
        <v>15</v>
      </c>
      <c r="C124" s="112">
        <f t="shared" si="2"/>
        <v>726.04166666666663</v>
      </c>
      <c r="D124" s="96"/>
      <c r="E124" s="95"/>
      <c r="F124" s="95"/>
      <c r="G124" s="95"/>
      <c r="H124" s="93"/>
    </row>
    <row r="125" spans="2:8">
      <c r="B125" s="110">
        <v>16</v>
      </c>
      <c r="C125" s="112">
        <f t="shared" si="2"/>
        <v>726.04166666666663</v>
      </c>
      <c r="D125" s="96"/>
      <c r="E125" s="95"/>
      <c r="F125" s="95"/>
      <c r="G125" s="95"/>
      <c r="H125" s="93"/>
    </row>
    <row r="126" spans="2:8">
      <c r="B126" s="110">
        <v>17</v>
      </c>
      <c r="C126" s="112">
        <f t="shared" si="2"/>
        <v>726.04166666666663</v>
      </c>
      <c r="D126" s="96"/>
      <c r="E126" s="95"/>
      <c r="F126" s="95"/>
      <c r="G126" s="95"/>
      <c r="H126" s="93"/>
    </row>
    <row r="127" spans="2:8">
      <c r="B127" s="110">
        <v>18</v>
      </c>
      <c r="C127" s="112">
        <f t="shared" si="2"/>
        <v>726.04166666666663</v>
      </c>
      <c r="D127" s="96"/>
      <c r="E127" s="95"/>
      <c r="F127" s="95"/>
      <c r="G127" s="95"/>
      <c r="H127" s="93"/>
    </row>
    <row r="128" spans="2:8">
      <c r="B128" s="110">
        <v>19</v>
      </c>
      <c r="C128" s="112">
        <f t="shared" si="2"/>
        <v>726.04166666666663</v>
      </c>
      <c r="D128" s="96"/>
      <c r="E128" s="95"/>
      <c r="F128" s="95"/>
      <c r="G128" s="95"/>
      <c r="H128" s="93"/>
    </row>
    <row r="129" spans="2:8">
      <c r="B129" s="110">
        <v>20</v>
      </c>
      <c r="C129" s="112">
        <f t="shared" si="2"/>
        <v>726.04166666666663</v>
      </c>
      <c r="D129" s="96"/>
      <c r="E129" s="95"/>
      <c r="F129" s="95"/>
      <c r="G129" s="95"/>
      <c r="H129" s="93"/>
    </row>
    <row r="130" spans="2:8">
      <c r="B130" s="110">
        <v>21</v>
      </c>
      <c r="C130" s="112">
        <f t="shared" si="2"/>
        <v>726.04166666666663</v>
      </c>
      <c r="D130" s="96"/>
      <c r="E130" s="95"/>
      <c r="F130" s="95"/>
      <c r="G130" s="95"/>
      <c r="H130" s="93"/>
    </row>
    <row r="131" spans="2:8">
      <c r="B131" s="110">
        <v>22</v>
      </c>
      <c r="C131" s="112">
        <f t="shared" si="2"/>
        <v>726.04166666666663</v>
      </c>
      <c r="D131" s="96"/>
      <c r="E131" s="95"/>
      <c r="F131" s="95"/>
      <c r="G131" s="95"/>
      <c r="H131" s="93"/>
    </row>
    <row r="132" spans="2:8">
      <c r="B132" s="110">
        <v>23</v>
      </c>
      <c r="C132" s="112">
        <f t="shared" si="2"/>
        <v>726.04166666666663</v>
      </c>
      <c r="D132" s="96"/>
      <c r="E132" s="95"/>
      <c r="F132" s="95"/>
      <c r="G132" s="95"/>
      <c r="H132" s="93"/>
    </row>
    <row r="133" spans="2:8">
      <c r="B133" s="110">
        <v>24</v>
      </c>
      <c r="C133" s="112">
        <f t="shared" si="2"/>
        <v>726.04166666666663</v>
      </c>
      <c r="D133" s="96"/>
      <c r="E133" s="95"/>
      <c r="F133" s="95"/>
      <c r="G133" s="95"/>
      <c r="H133" s="93"/>
    </row>
    <row r="134" spans="2:8">
      <c r="B134" s="110">
        <v>25</v>
      </c>
      <c r="C134" s="112">
        <f t="shared" ref="C134:C145" si="3">($D$103+$F$101)/12</f>
        <v>726.04166666666663</v>
      </c>
      <c r="D134" s="96"/>
      <c r="E134" s="95"/>
      <c r="F134" s="95"/>
      <c r="G134" s="95"/>
      <c r="H134" s="93"/>
    </row>
    <row r="135" spans="2:8">
      <c r="B135" s="110">
        <v>26</v>
      </c>
      <c r="C135" s="112">
        <f t="shared" si="3"/>
        <v>726.04166666666663</v>
      </c>
      <c r="D135" s="96"/>
      <c r="E135" s="95"/>
      <c r="F135" s="95"/>
      <c r="G135" s="95"/>
      <c r="H135" s="93"/>
    </row>
    <row r="136" spans="2:8">
      <c r="B136" s="110">
        <v>27</v>
      </c>
      <c r="C136" s="112">
        <f t="shared" si="3"/>
        <v>726.04166666666663</v>
      </c>
      <c r="D136" s="96"/>
      <c r="E136" s="95"/>
      <c r="F136" s="95"/>
      <c r="G136" s="95"/>
      <c r="H136" s="93"/>
    </row>
    <row r="137" spans="2:8">
      <c r="B137" s="110">
        <v>28</v>
      </c>
      <c r="C137" s="112">
        <f t="shared" si="3"/>
        <v>726.04166666666663</v>
      </c>
      <c r="D137" s="96"/>
      <c r="E137" s="95"/>
      <c r="F137" s="95"/>
      <c r="G137" s="95"/>
      <c r="H137" s="93"/>
    </row>
    <row r="138" spans="2:8">
      <c r="B138" s="110">
        <v>29</v>
      </c>
      <c r="C138" s="112">
        <f t="shared" si="3"/>
        <v>726.04166666666663</v>
      </c>
      <c r="D138" s="96"/>
      <c r="E138" s="95"/>
      <c r="F138" s="95"/>
      <c r="G138" s="95"/>
      <c r="H138" s="93"/>
    </row>
    <row r="139" spans="2:8">
      <c r="B139" s="110">
        <v>30</v>
      </c>
      <c r="C139" s="112">
        <f t="shared" si="3"/>
        <v>726.04166666666663</v>
      </c>
      <c r="D139" s="96"/>
      <c r="E139" s="95"/>
      <c r="F139" s="95"/>
      <c r="G139" s="95"/>
      <c r="H139" s="93"/>
    </row>
    <row r="140" spans="2:8">
      <c r="B140" s="110">
        <v>31</v>
      </c>
      <c r="C140" s="112">
        <f t="shared" si="3"/>
        <v>726.04166666666663</v>
      </c>
      <c r="D140" s="96"/>
      <c r="E140" s="95"/>
      <c r="F140" s="95"/>
      <c r="G140" s="95"/>
      <c r="H140" s="93"/>
    </row>
    <row r="141" spans="2:8">
      <c r="B141" s="110">
        <v>32</v>
      </c>
      <c r="C141" s="112">
        <f t="shared" si="3"/>
        <v>726.04166666666663</v>
      </c>
      <c r="D141" s="96"/>
      <c r="E141" s="95"/>
      <c r="F141" s="95"/>
      <c r="G141" s="95"/>
      <c r="H141" s="93"/>
    </row>
    <row r="142" spans="2:8">
      <c r="B142" s="110">
        <v>33</v>
      </c>
      <c r="C142" s="112">
        <f t="shared" si="3"/>
        <v>726.04166666666663</v>
      </c>
      <c r="D142" s="96"/>
      <c r="E142" s="95"/>
      <c r="F142" s="95"/>
      <c r="G142" s="95"/>
      <c r="H142" s="93"/>
    </row>
    <row r="143" spans="2:8">
      <c r="B143" s="110">
        <v>34</v>
      </c>
      <c r="C143" s="112">
        <f t="shared" si="3"/>
        <v>726.04166666666663</v>
      </c>
      <c r="D143" s="96"/>
      <c r="E143" s="95"/>
      <c r="F143" s="95"/>
      <c r="G143" s="95"/>
      <c r="H143" s="93"/>
    </row>
    <row r="144" spans="2:8">
      <c r="B144" s="110">
        <v>35</v>
      </c>
      <c r="C144" s="112">
        <f t="shared" si="3"/>
        <v>726.04166666666663</v>
      </c>
      <c r="D144" s="96"/>
      <c r="E144" s="95"/>
      <c r="F144" s="95"/>
      <c r="G144" s="95"/>
      <c r="H144" s="93"/>
    </row>
    <row r="145" spans="2:8">
      <c r="B145" s="110">
        <v>36</v>
      </c>
      <c r="C145" s="112">
        <f t="shared" si="3"/>
        <v>726.04166666666663</v>
      </c>
      <c r="D145" s="96"/>
      <c r="E145" s="95"/>
      <c r="F145" s="95"/>
      <c r="G145" s="95"/>
      <c r="H145" s="93"/>
    </row>
    <row r="146" spans="2:8">
      <c r="B146" s="110">
        <v>37</v>
      </c>
      <c r="C146" s="112">
        <f t="shared" ref="C146:C157" si="4">($D$103+$G$101)/12</f>
        <v>726.04166666666663</v>
      </c>
      <c r="D146" s="96"/>
      <c r="E146" s="95"/>
      <c r="F146" s="95"/>
      <c r="G146" s="95"/>
      <c r="H146" s="93"/>
    </row>
    <row r="147" spans="2:8">
      <c r="B147" s="110">
        <v>38</v>
      </c>
      <c r="C147" s="112">
        <f t="shared" si="4"/>
        <v>726.04166666666663</v>
      </c>
      <c r="D147" s="96"/>
      <c r="E147" s="95"/>
      <c r="F147" s="95"/>
      <c r="G147" s="95"/>
      <c r="H147" s="93"/>
    </row>
    <row r="148" spans="2:8">
      <c r="B148" s="110">
        <v>39</v>
      </c>
      <c r="C148" s="112">
        <f t="shared" si="4"/>
        <v>726.04166666666663</v>
      </c>
      <c r="D148" s="96"/>
      <c r="E148" s="95"/>
      <c r="F148" s="95"/>
      <c r="G148" s="95"/>
      <c r="H148" s="93"/>
    </row>
    <row r="149" spans="2:8">
      <c r="B149" s="110">
        <v>40</v>
      </c>
      <c r="C149" s="112">
        <f t="shared" si="4"/>
        <v>726.04166666666663</v>
      </c>
      <c r="D149" s="96"/>
      <c r="E149" s="95"/>
      <c r="F149" s="95"/>
      <c r="G149" s="95"/>
      <c r="H149" s="93"/>
    </row>
    <row r="150" spans="2:8">
      <c r="B150" s="110">
        <v>41</v>
      </c>
      <c r="C150" s="112">
        <f t="shared" si="4"/>
        <v>726.04166666666663</v>
      </c>
      <c r="D150" s="96"/>
      <c r="E150" s="95"/>
      <c r="F150" s="95"/>
      <c r="G150" s="95"/>
      <c r="H150" s="93"/>
    </row>
    <row r="151" spans="2:8">
      <c r="B151" s="110">
        <v>42</v>
      </c>
      <c r="C151" s="112">
        <f t="shared" si="4"/>
        <v>726.04166666666663</v>
      </c>
      <c r="D151" s="96"/>
      <c r="E151" s="95"/>
      <c r="F151" s="95"/>
      <c r="G151" s="95"/>
      <c r="H151" s="93"/>
    </row>
    <row r="152" spans="2:8">
      <c r="B152" s="110">
        <v>43</v>
      </c>
      <c r="C152" s="112">
        <f t="shared" si="4"/>
        <v>726.04166666666663</v>
      </c>
      <c r="D152" s="96"/>
      <c r="E152" s="95"/>
      <c r="F152" s="95"/>
      <c r="G152" s="95"/>
      <c r="H152" s="93"/>
    </row>
    <row r="153" spans="2:8">
      <c r="B153" s="110">
        <v>44</v>
      </c>
      <c r="C153" s="112">
        <f t="shared" si="4"/>
        <v>726.04166666666663</v>
      </c>
      <c r="D153" s="96"/>
      <c r="E153" s="95"/>
      <c r="F153" s="95"/>
      <c r="G153" s="95"/>
      <c r="H153" s="93"/>
    </row>
    <row r="154" spans="2:8">
      <c r="B154" s="110">
        <v>45</v>
      </c>
      <c r="C154" s="112">
        <f t="shared" si="4"/>
        <v>726.04166666666663</v>
      </c>
      <c r="D154" s="96"/>
      <c r="E154" s="95"/>
      <c r="F154" s="95"/>
      <c r="G154" s="95"/>
      <c r="H154" s="93"/>
    </row>
    <row r="155" spans="2:8">
      <c r="B155" s="110">
        <v>46</v>
      </c>
      <c r="C155" s="112">
        <f t="shared" si="4"/>
        <v>726.04166666666663</v>
      </c>
      <c r="D155" s="96"/>
      <c r="E155" s="95"/>
      <c r="F155" s="95"/>
      <c r="G155" s="95"/>
      <c r="H155" s="93"/>
    </row>
    <row r="156" spans="2:8">
      <c r="B156" s="110">
        <v>47</v>
      </c>
      <c r="C156" s="112">
        <f t="shared" si="4"/>
        <v>726.04166666666663</v>
      </c>
      <c r="D156" s="96"/>
      <c r="E156" s="95"/>
      <c r="F156" s="95"/>
      <c r="G156" s="95"/>
      <c r="H156" s="93"/>
    </row>
    <row r="157" spans="2:8">
      <c r="B157" s="110">
        <v>48</v>
      </c>
      <c r="C157" s="112">
        <f t="shared" si="4"/>
        <v>726.04166666666663</v>
      </c>
      <c r="D157" s="96"/>
      <c r="E157" s="95"/>
      <c r="F157" s="95"/>
      <c r="G157" s="95"/>
      <c r="H157" s="93"/>
    </row>
    <row r="158" spans="2:8">
      <c r="B158" s="110">
        <v>49</v>
      </c>
      <c r="C158" s="112">
        <f t="shared" ref="C158:C168" si="5">($D$103+$G$48)/12</f>
        <v>726.04166666666663</v>
      </c>
      <c r="D158" s="96"/>
      <c r="E158" s="95"/>
      <c r="F158" s="95"/>
      <c r="G158" s="95"/>
      <c r="H158" s="93"/>
    </row>
    <row r="159" spans="2:8">
      <c r="B159" s="110">
        <v>50</v>
      </c>
      <c r="C159" s="112">
        <f t="shared" si="5"/>
        <v>726.04166666666663</v>
      </c>
      <c r="D159" s="96"/>
      <c r="E159" s="95"/>
      <c r="F159" s="95"/>
      <c r="G159" s="95"/>
      <c r="H159" s="93"/>
    </row>
    <row r="160" spans="2:8">
      <c r="B160" s="110">
        <v>51</v>
      </c>
      <c r="C160" s="112">
        <f t="shared" si="5"/>
        <v>726.04166666666663</v>
      </c>
      <c r="D160" s="96"/>
      <c r="E160" s="95"/>
      <c r="F160" s="95"/>
      <c r="G160" s="95"/>
      <c r="H160" s="93"/>
    </row>
    <row r="161" spans="2:8">
      <c r="B161" s="110">
        <v>52</v>
      </c>
      <c r="C161" s="112">
        <f t="shared" si="5"/>
        <v>726.04166666666663</v>
      </c>
      <c r="D161" s="96"/>
      <c r="E161" s="95"/>
      <c r="F161" s="95"/>
      <c r="G161" s="95"/>
      <c r="H161" s="93"/>
    </row>
    <row r="162" spans="2:8">
      <c r="B162" s="110">
        <v>53</v>
      </c>
      <c r="C162" s="112">
        <f t="shared" si="5"/>
        <v>726.04166666666663</v>
      </c>
      <c r="D162" s="96"/>
      <c r="E162" s="95"/>
      <c r="F162" s="95"/>
      <c r="G162" s="95"/>
      <c r="H162" s="93"/>
    </row>
    <row r="163" spans="2:8">
      <c r="B163" s="110">
        <v>54</v>
      </c>
      <c r="C163" s="112">
        <f t="shared" si="5"/>
        <v>726.04166666666663</v>
      </c>
      <c r="D163" s="96"/>
      <c r="E163" s="95"/>
      <c r="F163" s="95"/>
      <c r="G163" s="95"/>
      <c r="H163" s="93"/>
    </row>
    <row r="164" spans="2:8">
      <c r="B164" s="110">
        <v>55</v>
      </c>
      <c r="C164" s="112">
        <f t="shared" si="5"/>
        <v>726.04166666666663</v>
      </c>
      <c r="D164" s="96"/>
      <c r="E164" s="95"/>
      <c r="F164" s="95"/>
      <c r="G164" s="95"/>
      <c r="H164" s="93"/>
    </row>
    <row r="165" spans="2:8">
      <c r="B165" s="110">
        <v>56</v>
      </c>
      <c r="C165" s="112">
        <f t="shared" si="5"/>
        <v>726.04166666666663</v>
      </c>
      <c r="D165" s="96"/>
      <c r="E165" s="95"/>
      <c r="F165" s="95"/>
      <c r="G165" s="95"/>
      <c r="H165" s="93"/>
    </row>
    <row r="166" spans="2:8">
      <c r="B166" s="110">
        <v>57</v>
      </c>
      <c r="C166" s="112">
        <f t="shared" si="5"/>
        <v>726.04166666666663</v>
      </c>
      <c r="D166" s="96"/>
      <c r="E166" s="95"/>
      <c r="F166" s="95"/>
      <c r="G166" s="95"/>
      <c r="H166" s="93"/>
    </row>
    <row r="167" spans="2:8">
      <c r="B167" s="110">
        <v>58</v>
      </c>
      <c r="C167" s="112">
        <f t="shared" si="5"/>
        <v>726.04166666666663</v>
      </c>
      <c r="D167" s="96"/>
      <c r="E167" s="95"/>
      <c r="F167" s="95"/>
      <c r="G167" s="95"/>
      <c r="H167" s="93"/>
    </row>
    <row r="168" spans="2:8">
      <c r="B168" s="110">
        <v>59</v>
      </c>
      <c r="C168" s="112">
        <f t="shared" si="5"/>
        <v>726.04166666666663</v>
      </c>
      <c r="D168" s="96"/>
      <c r="E168" s="95"/>
      <c r="F168" s="95"/>
      <c r="G168" s="95"/>
      <c r="H168" s="93"/>
    </row>
    <row r="169" spans="2:8">
      <c r="B169" s="110">
        <v>60</v>
      </c>
      <c r="C169" s="112">
        <f>($D$103+$G$48)/12+E60+H100</f>
        <v>85726.041666666672</v>
      </c>
      <c r="D169" s="96"/>
      <c r="E169" s="95"/>
      <c r="F169" s="95"/>
      <c r="G169" s="95"/>
      <c r="H169" s="93"/>
    </row>
    <row r="170" spans="2:8">
      <c r="B170" s="113"/>
      <c r="C170" s="114"/>
      <c r="D170" s="16"/>
      <c r="E170" s="16"/>
      <c r="F170" s="16"/>
      <c r="G170" s="16"/>
      <c r="H170" s="39"/>
    </row>
    <row r="171" spans="2:8" ht="15" thickBot="1">
      <c r="B171" s="115" t="s">
        <v>43</v>
      </c>
      <c r="C171" s="116">
        <f>IRR(C109:C169,0.1/12)*12</f>
        <v>0.10249999999999737</v>
      </c>
      <c r="D171" s="41"/>
      <c r="E171" s="41"/>
      <c r="F171" s="41"/>
      <c r="G171" s="41"/>
      <c r="H171" s="42"/>
    </row>
  </sheetData>
  <mergeCells count="9">
    <mergeCell ref="B107:C107"/>
    <mergeCell ref="D1:E1"/>
    <mergeCell ref="B29:G29"/>
    <mergeCell ref="B36:G36"/>
    <mergeCell ref="B55:E55"/>
    <mergeCell ref="B76:H76"/>
    <mergeCell ref="B87:H87"/>
    <mergeCell ref="B97:H97"/>
    <mergeCell ref="B4:G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CFs</vt:lpstr>
      <vt:lpstr>Amortization</vt:lpstr>
      <vt:lpstr>Leverage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moussa</dc:creator>
  <cp:lastModifiedBy>kbah Bah</cp:lastModifiedBy>
  <dcterms:created xsi:type="dcterms:W3CDTF">2009-10-28T21:24:10Z</dcterms:created>
  <dcterms:modified xsi:type="dcterms:W3CDTF">2017-04-18T00:30:22Z</dcterms:modified>
</cp:coreProperties>
</file>